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ssumptions and Clarifications" sheetId="1" r:id="rId4"/>
    <sheet state="visible" name="Balance sheet Company 1" sheetId="2" r:id="rId5"/>
    <sheet state="visible" name="Balance sheet Company 2" sheetId="3" r:id="rId6"/>
    <sheet state="visible" name="Income statement Company 1" sheetId="4" r:id="rId7"/>
    <sheet state="visible" name="Income statement Company 2" sheetId="5" r:id="rId8"/>
    <sheet state="visible" name="Additional data Company 1" sheetId="6" r:id="rId9"/>
    <sheet state="visible" name="Additional data Company 2" sheetId="7" r:id="rId10"/>
    <sheet state="visible" name="Vertical Analysis Company 1" sheetId="8" r:id="rId11"/>
    <sheet state="visible" name="Vertical Analysis Company 2" sheetId="9" r:id="rId12"/>
    <sheet state="visible" name="Horizontal Analysis Company 1" sheetId="10" r:id="rId13"/>
    <sheet state="visible" name="Horizontal Analysis Company 2" sheetId="11" r:id="rId14"/>
    <sheet state="visible" name="Ratio Analysis Company 1" sheetId="12" r:id="rId15"/>
    <sheet state="visible" name="Ratio Analysis Company 2" sheetId="13" r:id="rId16"/>
  </sheets>
  <definedNames>
    <definedName name="A_DEPRAM_18">'Additional data Company 1'!#REF!</definedName>
    <definedName name="A_DEPRAM_19">'Additional data Company 1'!#REF!</definedName>
    <definedName name="A_DEPRAM_20">'Additional data Company 1'!#REF!</definedName>
    <definedName name="A_DSCR_20">'Ratio Analysis Company 1'!#REF!</definedName>
    <definedName name="A_EBITDA_18">'Additional data Company 1'!#REF!</definedName>
    <definedName name="A_EBITDA_19">'Additional data Company 1'!#REF!</definedName>
    <definedName name="A_EBITDA_20">'Additional data Company 1'!#REF!</definedName>
    <definedName name="A_EffTax_18">'Additional data Company 1'!#REF!</definedName>
    <definedName name="A_EffTax_19">'Additional data Company 1'!#REF!</definedName>
    <definedName name="A_EffTax_20">'Additional data Company 1'!#REF!</definedName>
    <definedName name="A_FAT_19">'Ratio Analysis Company 1'!#REF!</definedName>
    <definedName name="A_FAT_20">'Ratio Analysis Company 1'!#REF!</definedName>
    <definedName name="A_OPM_19">'Ratio Analysis Company 1'!#REF!</definedName>
    <definedName name="A_OPM_20">'Ratio Analysis Company 1'!#REF!</definedName>
    <definedName name="A_Repay_18">'Additional data Company 1'!#REF!</definedName>
    <definedName name="A_Repay_19">'Additional data Company 1'!#REF!</definedName>
    <definedName name="A_Repay_20">'Additional data Company 1'!#REF!</definedName>
    <definedName localSheetId="12" name="ARTO_19">'Ratio Analysis Company 2'!#REF!</definedName>
    <definedName localSheetId="12" name="ARTO_20">'Ratio Analysis Company 2'!#REF!</definedName>
    <definedName name="B_FAT_19">'Ratio Analysis Company 2'!#REF!</definedName>
    <definedName name="B_FAT_20">'Ratio Analysis Company 2'!#REF!</definedName>
    <definedName name="B_OPM_19">'Ratio Analysis Company 2'!#REF!</definedName>
    <definedName name="B_OPM_20">'Ratio Analysis Company 2'!#REF!</definedName>
    <definedName name="B_TAT_19">'Ratio Analysis Company 2'!#REF!</definedName>
    <definedName name="B_TAT_20">'Ratio Analysis Company 2'!#REF!</definedName>
    <definedName name="B_Cash_20">'Balance sheet Company 2'!$B$16</definedName>
    <definedName name="B_OCA_18">'Balance sheet Company 2'!$D$17</definedName>
    <definedName name="A_EWI_20">'Ratio Analysis Company 1'!$B$12</definedName>
    <definedName name="B_Sales_19">'Income statement Company 2'!$C$9</definedName>
    <definedName name="A_TEQ_18">'Balance sheet Company 1'!$D$25</definedName>
    <definedName localSheetId="6" name="EBITDA_18">'Additional data Company 2'!$D$15</definedName>
    <definedName name="A_LTL_19">'Balance sheet Company 1'!$C$27</definedName>
    <definedName name="A_CR_20">'Ratio Analysis Company 1'!$B$28</definedName>
    <definedName name="B_TEQ_18">'Balance sheet Company 2'!$D$25</definedName>
    <definedName name="A_Opex_18">'Income statement Company 1'!$D$13</definedName>
    <definedName name="B_ROA_19">'Ratio Analysis Company 2'!$C$10</definedName>
    <definedName name="A_COGS_19">'Income statement Company 1'!$C$10</definedName>
    <definedName name="A_COGS_20">'Income statement Company 1'!$B$10</definedName>
    <definedName name="A_AR_18">'Balance sheet Company 1'!$D$15</definedName>
    <definedName name="B_TotFA_18">'Balance sheet Company 2'!$D$12</definedName>
    <definedName localSheetId="6" name="Repay_19">'Additional data Company 2'!$C$12</definedName>
    <definedName name="A_ADIO_20">'Ratio Analysis Company 1'!$B$22</definedName>
    <definedName name="A_TA_20">'Balance sheet Company 1'!$B$20</definedName>
    <definedName name="A_FININC_20">'Income statement Company 1'!$B$17</definedName>
    <definedName name="B_GP_18">'Income statement Company 2'!$D$11</definedName>
    <definedName name="A_StatTax_19">'Additional data Company 1'!$C$9</definedName>
    <definedName name="A_GPM_20">'Ratio Analysis Company 1'!$B$13</definedName>
    <definedName name="B_FINEX_18">'Income statement Company 2'!$D$16</definedName>
    <definedName name="A_TaxExp_19">'Income statement Company 1'!$C$22</definedName>
    <definedName name="A_TNCL_18">'Balance sheet Company 1'!$D$28</definedName>
    <definedName name="B_Opex_18">'Income statement Company 2'!$D$13</definedName>
    <definedName name="B_INV_18">'Balance sheet Company 2'!$D$14</definedName>
    <definedName name="A_GP_20">'Income statement Company 1'!$B$11</definedName>
    <definedName name="A_TFA_18">'Balance sheet Company 1'!$D$10</definedName>
    <definedName name="B_Cash_19">'Balance sheet Company 2'!$C$16</definedName>
    <definedName name="A_TEQ_19">'Balance sheet Company 1'!$C$25</definedName>
    <definedName localSheetId="6" name="DEPRAM_18">'Additional data Company 2'!$D$13</definedName>
    <definedName name="B_ROA_20">'Ratio Analysis Company 2'!$B$10</definedName>
    <definedName name="A_DR_20">'Ratio Analysis Company 1'!$B$30</definedName>
    <definedName name="B_ISC_20">'Balance sheet Company 2'!$B$23</definedName>
    <definedName name="B_OFA_18">'Balance sheet Company 2'!$D$11</definedName>
    <definedName name="B_TaxExp_20">'Income statement Company 2'!$B$22</definedName>
    <definedName name="A_PBT_19">'Income statement Company 1'!$C$20</definedName>
    <definedName name="A_ROE_19">'Ratio Analysis Company 1'!$C$9</definedName>
    <definedName name="B_LTL_19">'Balance sheet Company 2'!$C$27</definedName>
    <definedName name="B_TotFA_20">'Balance sheet Company 2'!$B$12</definedName>
    <definedName name="B_ISC_19">'Balance sheet Company 2'!$C$23</definedName>
    <definedName name="B_OCA_19">'Balance sheet Company 2'!$C$17</definedName>
    <definedName localSheetId="6" name="DEPRAM_20">'Additional data Company 2'!$B$13</definedName>
    <definedName name="B_ROE_20">'Ratio Analysis Company 2'!$B$9</definedName>
    <definedName name="A_Cash_19">'Balance sheet Company 1'!$C$16</definedName>
    <definedName name="B_StatTax_19">'Additional data Company 2'!$C$9</definedName>
    <definedName name="B_Sales_20">'Income statement Company 2'!$B$9</definedName>
    <definedName name="B_Company">'Balance sheet Company 2'!$B$1</definedName>
    <definedName name="B_GP_19">'Income statement Company 2'!$C$11</definedName>
    <definedName name="A_TFA_20">'Balance sheet Company 1'!$B$10</definedName>
    <definedName name="B_LTL_20">'Balance sheet Company 2'!$B$27</definedName>
    <definedName name="B_DEPRAM_19">'Additional data Company 2'!$C$13</definedName>
    <definedName name="B_GP_20">'Income statement Company 2'!$B$11</definedName>
    <definedName name="B_GPM_20">'Ratio Analysis Company 2'!$B$13</definedName>
    <definedName name="B_ICR_20">'Ratio Analysis Company 2'!$B$31</definedName>
    <definedName name="B_PBT_20">'Income statement Company 2'!$B$20</definedName>
    <definedName name="B_TaxExp_18">'Income statement Company 2'!$D$22</definedName>
    <definedName name="B_PBT_18">'Income statement Company 2'!$D$20</definedName>
    <definedName name="B_DR_20">'Ratio Analysis Company 2'!$B$30</definedName>
    <definedName name="B_IFA_19">'Balance sheet Company 2'!$C$9</definedName>
    <definedName name="A_Company">'Balance sheet Company 1'!$B$1</definedName>
    <definedName name="A_NP_18">'Income statement Company 1'!$D$24</definedName>
    <definedName name="A_TCL_18">'Balance sheet Company 1'!$D$32</definedName>
    <definedName name="B_ROE_19">'Ratio Analysis Company 2'!$C$9</definedName>
    <definedName name="A_ART_20">'Ratio Analysis Company 1'!$B$19</definedName>
    <definedName name="B_Opex_19">'Income statement Company 2'!$C$13</definedName>
    <definedName name="A_NETFINEX_19">'Income statement Company 1'!$C$18</definedName>
    <definedName name="A_EWI_19">'Ratio Analysis Company 1'!$C$12</definedName>
    <definedName name="B_EBITDA_18">'Additional data Company 2'!$D$15</definedName>
    <definedName name="A_Cash_18">'Balance sheet Company 1'!$D$16</definedName>
    <definedName name="B_TCA_18">'Balance sheet Company 2'!$D$18</definedName>
    <definedName name="B_EffTax_20">'Additional data Company 2'!$B$10</definedName>
    <definedName name="B_AR_19">'Balance sheet Company 2'!$C$15</definedName>
    <definedName name="A_AR_19">'Balance sheet Company 1'!$C$15</definedName>
    <definedName name="B_IFA_18">'Balance sheet Company 2'!$D$9</definedName>
    <definedName name="B_NETFINEX_20">'Income statement Company 2'!$B$18</definedName>
    <definedName localSheetId="2" name="AssignNo">'Balance sheet Company 2'!$B$3</definedName>
    <definedName name="A_TNCL_19">'Balance sheet Company 1'!$C$28</definedName>
    <definedName name="A_IFA_18">'Balance sheet Company 1'!$D$9</definedName>
    <definedName name="A_GP_19">'Income statement Company 1'!$C$11</definedName>
    <definedName name="A_TCL_19">'Balance sheet Company 1'!$C$32</definedName>
    <definedName name="A_AP_18">'Balance sheet Company 1'!$D$30</definedName>
    <definedName localSheetId="6" name="StatTax_20">'Additional data Company 2'!$B$9</definedName>
    <definedName name="B_ART_19">'Ratio Analysis Company 2'!$C$19</definedName>
    <definedName name="B_CR_20">'Ratio Analysis Company 2'!$B$28</definedName>
    <definedName name="A_ROA_19">'Ratio Analysis Company 1'!$C$10</definedName>
    <definedName name="B_ADIO_20">'Ratio Analysis Company 2'!$B$22</definedName>
    <definedName name="A_TEL_20">'Balance sheet Company 1'!$B$34</definedName>
    <definedName name="B_GPM_19">'Ratio Analysis Company 2'!$C$13</definedName>
    <definedName name="A_AP_20">'Balance sheet Company 1'!$B$30</definedName>
    <definedName name="A_TotFA_20">'Balance sheet Company 1'!$B$12</definedName>
    <definedName name="B_Repay_20">'Additional data Company 2'!$B$12</definedName>
    <definedName name="B_PBT_19">'Income statement Company 2'!$C$20</definedName>
    <definedName name="A_Cash_20">'Balance sheet Company 1'!$B$16</definedName>
    <definedName name="B_StatTax_18">'Additional data Company 2'!$D$9</definedName>
    <definedName name="B_EBIT_18">'Income statement Company 2'!$D$14</definedName>
    <definedName name="A_OFA_18">'Balance sheet Company 1'!$D$11</definedName>
    <definedName name="A_Opex_19">'Income statement Company 1'!$C$13</definedName>
    <definedName name="A_TCL_20">'Balance sheet Company 1'!$B$32</definedName>
    <definedName name="A_StatTax_18">'Additional data Company 1'!$D$9</definedName>
    <definedName name="B_OCL_19">'Balance sheet Company 2'!$C$31</definedName>
    <definedName name="A_GPM_19">'Ratio Analysis Company 1'!$C$13</definedName>
    <definedName name="B_TFA_20">'Balance sheet Company 2'!$B$10</definedName>
    <definedName name="B_QR_19">'Ratio Analysis Company 2'!$C$29</definedName>
    <definedName name="B_Cash_18">'Balance sheet Company 2'!$D$16</definedName>
    <definedName name="A_QR_19">'Ratio Analysis Company 1'!$C$29</definedName>
    <definedName name="B_NPM_19">'Ratio Analysis Company 2'!$C$14</definedName>
    <definedName name="B_TNCL_18">'Balance sheet Company 2'!$D$28</definedName>
    <definedName name="B_OCA_20">'Balance sheet Company 2'!$B$17</definedName>
    <definedName name="A_TEL_19">'Balance sheet Company 1'!$C$34</definedName>
    <definedName name="B_TCA_19">'Balance sheet Company 2'!$C$18</definedName>
    <definedName name="A_EBIT_18">'Income statement Company 1'!$D$14</definedName>
    <definedName name="B_FININC_20">'Income statement Company 2'!$B$17</definedName>
    <definedName name="A_OCA_18">'Balance sheet Company 1'!$D$17</definedName>
    <definedName name="B_ACP_20">'Ratio Analysis Company 2'!$B$20</definedName>
    <definedName name="A_PBT_18">'Income statement Company 1'!$D$20</definedName>
    <definedName name="B_AP_20">'Balance sheet Company 2'!$B$30</definedName>
    <definedName name="B_OSF_18">'Balance sheet Company 2'!$D$24</definedName>
    <definedName name="B_EffTax_18">'Additional data Company 2'!$D$10</definedName>
    <definedName name="B_AR_18">'Balance sheet Company 2'!$D$15</definedName>
    <definedName name="B_IT_19">'Ratio Analysis Company 2'!$C$21</definedName>
    <definedName name="A_NP_20">'Income statement Company 1'!$B$24</definedName>
    <definedName name="B_EBITDA_19">'Additional data Company 2'!$C$15</definedName>
    <definedName name="B_ICR_19">'Ratio Analysis Company 2'!$C$31</definedName>
    <definedName name="A_INV_18">'Balance sheet Company 1'!$D$14</definedName>
    <definedName name="A_TaxExp_18">'Income statement Company 1'!$D$22</definedName>
    <definedName name="B_StatTax_20">'Additional data Company 2'!$B$9</definedName>
    <definedName name="B_ART_20">'Ratio Analysis Company 2'!$B$19</definedName>
    <definedName name="B_NETFINEX_19">'Income statement Company 2'!$C$18</definedName>
    <definedName name="A_TA_18">'Balance sheet Company 1'!$D$20</definedName>
    <definedName name="ABCSSS">'Income statement Company 1'!$B$1</definedName>
    <definedName name="A_TotFA_18">'Balance sheet Company 1'!$D$12</definedName>
    <definedName name="A_NPM_19">'Ratio Analysis Company 1'!$C$14</definedName>
    <definedName name="B_OFA_19">'Balance sheet Company 2'!$C$11</definedName>
    <definedName name="A_TFA_19">'Balance sheet Company 1'!$C$10</definedName>
    <definedName name="B_NPM_20">'Ratio Analysis Company 2'!$B$14</definedName>
    <definedName name="A_NETFINEX_20">'Income statement Company 1'!$B$18</definedName>
    <definedName localSheetId="6" name="Repay_20">'Additional data Company 2'!$B$12</definedName>
    <definedName name="A_Opex_20">'Income statement Company 1'!$B$13</definedName>
    <definedName name="B_AP_18">'Balance sheet Company 2'!$D$30</definedName>
    <definedName name="A_OSF_19">'Balance sheet Company 1'!$C$24</definedName>
    <definedName name="B_Repay_19">'Additional data Company 2'!$C$12</definedName>
    <definedName localSheetId="6" name="EBITDA_19">'Additional data Company 2'!$C$15</definedName>
    <definedName name="B_DEPRAM_20">'Additional data Company 2'!$B$13</definedName>
    <definedName name="A_TEQ_20">'Balance sheet Company 1'!$B$25</definedName>
    <definedName name="B_OCL_18">'Balance sheet Company 2'!$D$31</definedName>
    <definedName name="B_INV_19">'Balance sheet Company 2'!$C$14</definedName>
    <definedName name="A_OSF_20">'Balance sheet Company 1'!$B$24</definedName>
    <definedName localSheetId="6" name="StatTax_19">'Additional data Company 2'!$C$9</definedName>
    <definedName name="A_INV_19">'Balance sheet Company 1'!$C$14</definedName>
    <definedName name="A_Sales_18">'Income statement Company 1'!$D$9</definedName>
    <definedName name="B_TEQ_19">'Balance sheet Company 2'!$C$25</definedName>
    <definedName name="B_IT_20">'Ratio Analysis Company 2'!$B$21</definedName>
    <definedName name="B_EBIT_19">'Income statement Company 2'!$C$14</definedName>
    <definedName name="B_OCL_20">'Balance sheet Company 2'!$B$31</definedName>
    <definedName name="A_NPM_20">'Ratio Analysis Company 1'!$B$14</definedName>
    <definedName name="A_FINEX_18">'Income statement Company 1'!$D$16</definedName>
    <definedName name="A_ISC_18">'Balance sheet Company 1'!$D$23</definedName>
    <definedName name="A_FINEX_19">'Income statement Company 1'!$C$16</definedName>
    <definedName localSheetId="6" name="Repay_18">'Additional data Company 2'!$D$12</definedName>
    <definedName name="B_COGS_19">'Income statement Company 2'!$C$10</definedName>
    <definedName name="A_EBIT_20">'Income statement Company 1'!$B$14</definedName>
    <definedName name="B_OFA_20">'Balance sheet Company 2'!$B$11</definedName>
    <definedName name="A_OCA_20">'Balance sheet Company 1'!$B$17</definedName>
    <definedName name="B_OSF_20">'Balance sheet Company 2'!$B$24</definedName>
    <definedName name="A_PBT_20">'Income statement Company 1'!$B$20</definedName>
    <definedName name="A_TCA_18">'Balance sheet Company 1'!$D$18</definedName>
    <definedName name="A_GP_18">'Income statement Company 1'!$D$11</definedName>
    <definedName name="A_ACP_20">'Ratio Analysis Company 1'!$B$20</definedName>
    <definedName name="A_IT_20">'Ratio Analysis Company 1'!$B$21</definedName>
    <definedName name="A_TCA_19">'Balance sheet Company 1'!$C$18</definedName>
    <definedName name="B_NP_19">'Income statement Company 2'!$C$24</definedName>
    <definedName name="B_DR_19">'Ratio Analysis Company 2'!$C$30</definedName>
    <definedName name="A_NETFINEX_18">'Income statement Company 1'!$D$18</definedName>
    <definedName localSheetId="6" name="EffTax_20">'Additional data Company 2'!$B$10</definedName>
    <definedName name="A_ADIO_19">'Ratio Analysis Company 1'!$C$22</definedName>
    <definedName name="B_TFA_18">'Balance sheet Company 2'!$D$10</definedName>
    <definedName name="A_ACP_19">'Ratio Analysis Company 1'!$C$20</definedName>
    <definedName name="A_TotFA_19">'Balance sheet Company 1'!$C$12</definedName>
    <definedName name="B_TaxExp_19">'Income statement Company 2'!$C$22</definedName>
    <definedName name="B_FINEX_19">'Income statement Company 2'!$C$16</definedName>
    <definedName name="A_ROFL_19">'Ratio Analysis Company 1'!$C$11</definedName>
    <definedName localSheetId="6" name="EBITDA_20">'Additional data Company 2'!$B$15</definedName>
    <definedName name="A_OCL_18">'Balance sheet Company 1'!$D$31</definedName>
    <definedName name="B_DEPRAM_18">'Additional data Company 2'!$D$13</definedName>
    <definedName localSheetId="6" name="StatTax_18">'Additional data Company 2'!$D$9</definedName>
    <definedName name="A_COGS_18">'Income statement Company 1'!$D$10</definedName>
    <definedName name="B_EBIT_20">'Income statement Company 2'!$B$14</definedName>
    <definedName name="A_TEL_18">'Balance sheet Company 1'!$D$34</definedName>
    <definedName name="A_EBIT_19">'Income statement Company 1'!$C$14</definedName>
    <definedName name="A_ISC_19">'Balance sheet Company 1'!$C$23</definedName>
    <definedName name="B_TEQ_20">'Balance sheet Company 2'!$B$25</definedName>
    <definedName name="A_OSF_18">'Balance sheet Company 1'!$D$24</definedName>
    <definedName name="B_Repay_18">'Additional data Company 2'!$D$12</definedName>
    <definedName name="B_TA_20">'Balance sheet Company 2'!$B$20</definedName>
    <definedName name="A_LTL_20">'Balance sheet Company 1'!$B$27</definedName>
    <definedName name="B_ADIO_19">'Ratio Analysis Company 2'!$C$22</definedName>
    <definedName localSheetId="6" name="EffTax_19">'Additional data Company 2'!$C$10</definedName>
    <definedName name="B_AP_19">'Balance sheet Company 2'!$C$30</definedName>
    <definedName name="B_TEL_18">'Balance sheet Company 2'!$D$34</definedName>
    <definedName name="A_TaxExp_20">'Income statement Company 1'!$B$22</definedName>
    <definedName name="A_IT_19">'Ratio Analysis Company 1'!$C$21</definedName>
    <definedName name="B_FININC_18">'Income statement Company 2'!$D$17</definedName>
    <definedName name="B_TEL_19">'Balance sheet Company 2'!$C$34</definedName>
    <definedName name="B_OSF_19">'Balance sheet Company 2'!$C$24</definedName>
    <definedName name="A_ROA_20">'Ratio Analysis Company 1'!$B$10</definedName>
    <definedName name="A_IFA_19">'Balance sheet Company 1'!$C$9</definedName>
    <definedName name="B_FINEX_20">'Income statement Company 2'!$B$16</definedName>
    <definedName name="B_IFA_20">'Balance sheet Company 2'!$B$9</definedName>
    <definedName name="B_EWI_19">'Ratio Analysis Company 2'!$C$12</definedName>
    <definedName name="B_NP_20">'Income statement Company 2'!$B$24</definedName>
    <definedName name="B_TotFA_19">'Balance sheet Company 2'!$C$12</definedName>
    <definedName name="A_DR_19">'Ratio Analysis Company 1'!$C$30</definedName>
    <definedName name="B_ISC_18">'Balance sheet Company 2'!$D$23</definedName>
    <definedName name="B_NP_18">'Income statement Company 2'!$D$24</definedName>
    <definedName name="B_AR_20">'Balance sheet Company 2'!$B$15</definedName>
    <definedName name="A_IFA_20">'Balance sheet Company 1'!$B$9</definedName>
    <definedName name="B_EWI_20">'Ratio Analysis Company 2'!$B$12</definedName>
    <definedName name="A_OCL_19">'Balance sheet Company 1'!$C$31</definedName>
    <definedName localSheetId="6" name="DEPRAM_19">'Additional data Company 2'!$C$13</definedName>
    <definedName name="A_LTL_18">'Balance sheet Company 1'!$D$27</definedName>
    <definedName name="B_TA_19">'Balance sheet Company 2'!$C$20</definedName>
    <definedName name="A_ROE_20">'Ratio Analysis Company 1'!$B$9</definedName>
    <definedName name="B_COGS_20">'Income statement Company 2'!$B$10</definedName>
    <definedName name="B_ROFL_20">'Ratio Analysis Company 2'!$B$11</definedName>
    <definedName name="A_CR_19">'Ratio Analysis Company 1'!$C$28</definedName>
    <definedName name="B_TCL_19">'Balance sheet Company 2'!$C$32</definedName>
    <definedName name="B_COGS_18">'Income statement Company 2'!$D$10</definedName>
    <definedName name="A_Sales_20">'Income statement Company 1'!$B$9</definedName>
    <definedName name="A_FININC_19">'Income statement Company 1'!$C$17</definedName>
    <definedName name="A_FINEX_20">'Income statement Company 1'!$B$16</definedName>
    <definedName name="A_AP_19">'Balance sheet Company 1'!$C$30</definedName>
    <definedName name="B_TNCL_19">'Balance sheet Company 2'!$C$28</definedName>
    <definedName name="B_TCL_18">'Balance sheet Company 2'!$D$32</definedName>
    <definedName name="A_TAT_19">'Ratio Analysis Company 1'!$C$23</definedName>
    <definedName localSheetId="6" name="EffTax_18">'Additional data Company 2'!$D$10</definedName>
    <definedName name="B_TEL_20">'Balance sheet Company 2'!$B$34</definedName>
    <definedName name="B_CR_19">'Ratio Analysis Company 2'!$C$28</definedName>
    <definedName name="B_NETFINEX_18">'Income statement Company 2'!$D$18</definedName>
    <definedName name="A_FININC_18">'Income statement Company 1'!$D$17</definedName>
    <definedName name="A_OCL_20">'Balance sheet Company 1'!$B$31</definedName>
    <definedName name="B_TFA_19">'Balance sheet Company 2'!$C$10</definedName>
    <definedName name="B_ACP_19">'Ratio Analysis Company 2'!$C$20</definedName>
    <definedName name="B_EffTax_19">'Additional data Company 2'!$C$10</definedName>
    <definedName name="A_StatTax_20">'Additional data Company 1'!$B$9</definedName>
    <definedName name="A_OFA_19">'Balance sheet Company 1'!$C$11</definedName>
    <definedName name="A_ROFL_20">'Ratio Analysis Company 1'!$B$11</definedName>
    <definedName name="B_TCL_20">'Balance sheet Company 2'!$B$32</definedName>
    <definedName name="B_TNCL_20">'Balance sheet Company 2'!$B$28</definedName>
    <definedName name="A_OFA_20">'Balance sheet Company 1'!$B$11</definedName>
    <definedName name="B_Opex_20">'Income statement Company 2'!$B$13</definedName>
    <definedName name="B_INV_20">'Balance sheet Company 2'!$B$14</definedName>
    <definedName name="B_FININC_19">'Income statement Company 2'!$C$17</definedName>
    <definedName name="B_TA_18">'Balance sheet Company 2'!$D$20</definedName>
    <definedName name="A_ART_19">'Ratio Analysis Company 1'!$C$19</definedName>
    <definedName name="A_TNCL_20">'Balance sheet Company 1'!$B$28</definedName>
    <definedName name="B_Sales_18">'Income statement Company 2'!$D$9</definedName>
    <definedName name="A_OCA_19">'Balance sheet Company 1'!$C$17</definedName>
    <definedName name="A_INV_20">'Balance sheet Company 1'!$B$14</definedName>
    <definedName name="B_ROFL_19">'Ratio Analysis Company 2'!$C$11</definedName>
    <definedName name="A_Sales_19">'Income statement Company 1'!$C$9</definedName>
    <definedName name="A_TAT_20">'Ratio Analysis Company 1'!$B$23</definedName>
    <definedName name="B_EBITDA_20">'Additional data Company 2'!$B$15</definedName>
    <definedName name="A_NP_19">'Income statement Company 1'!$C$24</definedName>
    <definedName name="A_ICR_19">'Ratio Analysis Company 1'!$C$31</definedName>
    <definedName name="AssignNo">'Balance sheet Company 1'!$B$3</definedName>
    <definedName name="A_QR_20">'Ratio Analysis Company 1'!$B$29</definedName>
    <definedName name="B_TCA_20">'Balance sheet Company 2'!$B$18</definedName>
    <definedName name="A_ISC_20">'Balance sheet Company 1'!$B$23</definedName>
    <definedName name="B_QR_20">'Ratio Analysis Company 2'!$B$29</definedName>
    <definedName name="B_LTL_18">'Balance sheet Company 2'!$D$27</definedName>
    <definedName name="A_ICR_20">'Ratio Analysis Company 1'!$B$31</definedName>
    <definedName name="A_AR_20">'Balance sheet Company 1'!$B$15</definedName>
    <definedName name="A_TCA_20">'Balance sheet Company 1'!$B$18</definedName>
    <definedName name="A_TA_19">'Balance sheet Company 1'!$C$20</definedName>
  </definedNames>
  <calcPr/>
  <extLst>
    <ext uri="GoogleSheetsCustomDataVersion2">
      <go:sheetsCustomData xmlns:go="http://customooxmlschemas.google.com/" r:id="rId17" roundtripDataChecksum="Vy9AX80MvqB22u81CXsuFxOVsUAv5d9VoYB2F/VJ9l4="/>
    </ext>
  </extLst>
</workbook>
</file>

<file path=xl/sharedStrings.xml><?xml version="1.0" encoding="utf-8"?>
<sst xmlns="http://schemas.openxmlformats.org/spreadsheetml/2006/main" count="240" uniqueCount="144">
  <si>
    <t>Financial Statement Analysis – Assumptions and Clarifications</t>
  </si>
  <si>
    <t>General remarks</t>
  </si>
  <si>
    <r>
      <rPr>
        <rFont val="Calibri"/>
        <color theme="1"/>
        <sz val="11.0"/>
      </rPr>
      <t>Some companies consist of entire groups of companies and subsidiaries. In that case, you should use the</t>
    </r>
    <r>
      <rPr>
        <rFont val="Calibri"/>
        <b/>
        <color theme="1"/>
        <sz val="11.0"/>
      </rPr>
      <t xml:space="preserve"> consolidated financial statements</t>
    </r>
    <r>
      <rPr>
        <rFont val="Calibri"/>
        <color theme="1"/>
        <sz val="11.0"/>
      </rPr>
      <t xml:space="preserve"> if available. 
The </t>
    </r>
    <r>
      <rPr>
        <rFont val="Calibri"/>
        <b/>
        <color theme="1"/>
        <sz val="11.0"/>
      </rPr>
      <t xml:space="preserve">income statement </t>
    </r>
    <r>
      <rPr>
        <rFont val="Calibri"/>
        <color theme="1"/>
        <sz val="11.0"/>
      </rPr>
      <t>within financial reports may sometimes be titled</t>
    </r>
    <r>
      <rPr>
        <rFont val="Calibri"/>
        <b/>
        <color theme="1"/>
        <sz val="11.0"/>
      </rPr>
      <t xml:space="preserve"> 'Statement of Profit and Loss,' 'Statement of Revenues,' 'Results from Operations,' </t>
    </r>
    <r>
      <rPr>
        <rFont val="Calibri"/>
        <color theme="1"/>
        <sz val="11.0"/>
      </rPr>
      <t>or</t>
    </r>
    <r>
      <rPr>
        <rFont val="Calibri"/>
        <b/>
        <color theme="1"/>
        <sz val="11.0"/>
      </rPr>
      <t xml:space="preserve"> 'Results of Revenue</t>
    </r>
    <r>
      <rPr>
        <rFont val="Calibri"/>
        <color theme="1"/>
        <sz val="11.0"/>
      </rPr>
      <t xml:space="preserve">.' 
Please focus </t>
    </r>
    <r>
      <rPr>
        <rFont val="Calibri"/>
        <b/>
        <color theme="1"/>
        <sz val="11.0"/>
      </rPr>
      <t>only on profit and loss from continued operations</t>
    </r>
    <r>
      <rPr>
        <rFont val="Calibri"/>
        <color theme="1"/>
        <sz val="11.0"/>
      </rPr>
      <t xml:space="preserve"> and disregard information in the statement of other comprehensive income.
We ask that you use the statutory tax rate for the sheet additional data company 1 &amp; 2, even if this tax rate differs significantly from the effective tax rate. 
It is often important to have a look at the notes to the financial statements because they can provide important and relevant information about certain items from the financial statements. 
</t>
    </r>
    <r>
      <rPr>
        <rFont val="Calibri"/>
        <color theme="1"/>
        <sz val="11.0"/>
        <u/>
      </rPr>
      <t>If you need to formulate and add new or custom assumptions, please write them down in the corresponding section on each sheet.</t>
    </r>
  </si>
  <si>
    <t>Assumptions:</t>
  </si>
  <si>
    <t xml:space="preserve"> </t>
  </si>
  <si>
    <t>Balance Sheet</t>
  </si>
  <si>
    <t>Income Statement/Statement of Profit and Loss/Statement of Revenues/Results from Operations/Results of Revenues</t>
  </si>
  <si>
    <t>● “Goodwill” is allocated to “Intangible fixed assets”</t>
  </si>
  <si>
    <t>● “Net sales” are allocated to “Revenues”</t>
  </si>
  <si>
    <t>● “Right-of-use assets” are allocated to “Intangible fixed assets”</t>
  </si>
  <si>
    <t>● “Sales number” is allocated to “Revenues”</t>
  </si>
  <si>
    <t>● “Property, plant and equipment (PPE)” is allocated to “Tangible fixed assets”</t>
  </si>
  <si>
    <t>● “Cost of sales” is allocated to “Cost of goods sold”</t>
  </si>
  <si>
    <t>● “Rights to use assets” are allocated to “Other fixed assets”</t>
  </si>
  <si>
    <t>● “Raw materials and consumables used” are allocated to “Cost of goods sold”</t>
  </si>
  <si>
    <t>● “Non-current financial assets” are allocated to “Other fixed assets”</t>
  </si>
  <si>
    <t>● “Selling and marketing expenses” are allocated to “Other operating expenses”</t>
  </si>
  <si>
    <t>● “Assets held up for sale” are allocated to “Other fixed assets”</t>
  </si>
  <si>
    <t>● “Research and development expenses” are allocated to “Other operating expenses”</t>
  </si>
  <si>
    <t>● “Inventories and work in progress” are allocated to “Inventory”</t>
  </si>
  <si>
    <t>● “Administration expenses” are allocated to “Other operating expenses”</t>
  </si>
  <si>
    <t>● “Raw materials” are allocated to “Inventory”</t>
  </si>
  <si>
    <t>● “Selling, general, and administrative expenses” are allocated to “Other operating</t>
  </si>
  <si>
    <t>● “Trade receivables” are allocated to “Accounts receivable”</t>
  </si>
  <si>
    <t>expenses”</t>
  </si>
  <si>
    <t>● “Current tax assets” are allocated to “Other current assets”</t>
  </si>
  <si>
    <t>● “Personnel expenses” are allocated to “Other operating expenses”</t>
  </si>
  <si>
    <t>● “Income tax receivable” is allocated to “Other current assets”</t>
  </si>
  <si>
    <t>● “Impairment of goodwill” is allocated to “Other operating expenses”</t>
  </si>
  <si>
    <t>● “Derivative financial assets” are allocated to “Other current assets”</t>
  </si>
  <si>
    <t>● “Amortization, depreciation, impairment, and impairment reversals” are allocated to</t>
  </si>
  <si>
    <t>● “Prepaid expenses” are allocated to “Other current assets”</t>
  </si>
  <si>
    <t>“Other operating expenses”</t>
  </si>
  <si>
    <t>● “Share capital value” is allocated to “Issued share capital”</t>
  </si>
  <si>
    <t>● “Interest expenses” are allocated to “Financial expenses”</t>
  </si>
  <si>
    <t>● “Subscribed capital” is allocated to “Issued share capital”</t>
  </si>
  <si>
    <t>● “Cost of net financial debt” is allocated to “Financial expenses”</t>
  </si>
  <si>
    <t>● “Shareholder’s equity” is allocated to “Issued share capital”</t>
  </si>
  <si>
    <t>● “Share of profit or loss of equity-accounted investments” is allocated to “Financial</t>
  </si>
  <si>
    <t>● “Share premium” is allocated to “Other equity”</t>
  </si>
  <si>
    <t>expenses/income”</t>
  </si>
  <si>
    <t>● “Reserves and retained earnings” are allocated to “Other equity”</t>
  </si>
  <si>
    <t>● “Income from other investments” is allocated to “Financial income”</t>
  </si>
  <si>
    <t>● “Non-controlling interests” are allocated to “Other equity”</t>
  </si>
  <si>
    <t>● “Profit from disclosed operations” is allocated to “Financial income”</t>
  </si>
  <si>
    <t>● “Additional paid-in capital” is allocated to “Other equity”</t>
  </si>
  <si>
    <t>● “Corporate income tax” is allocated to “Income tax expense”</t>
  </si>
  <si>
    <t>● “Minority interests” are allocated to “Other equity”</t>
  </si>
  <si>
    <t>● “Accumulated other comprehensive income” is allocated to “Other equity”</t>
  </si>
  <si>
    <t>● “Rights to use liabilities” are allocated to “Long-term liabilities”</t>
  </si>
  <si>
    <t>● “Deferred tax liabilities” are allocated to “Long-term liabilities”</t>
  </si>
  <si>
    <t>● “Trade payables” are allocated to “Accounts payable”</t>
  </si>
  <si>
    <t>● “Current provisions” are allocated to “Other current liabilities”</t>
  </si>
  <si>
    <t>● “Current tax liabilities” are allocated to “Other current liabilities”</t>
  </si>
  <si>
    <t>● “Current income tax payable” is allocated to “Other current liabilities”</t>
  </si>
  <si>
    <t>● “Current derivative instruments” are allocated to “Other current liabilities”</t>
  </si>
  <si>
    <t>● “Short-term borrowing” is allocated to “Other current liabilities”</t>
  </si>
  <si>
    <t>Rounding Errors</t>
  </si>
  <si>
    <t>In some annual reports, all numbers are rounded to millions which means that they are sometimes not adding up when you transfer them to the excel sheet for Assignment 2 (e.g.,
there is a difference of 1 million in total assets or net profit). This is due to a small rounding error the company made on its balance sheet or income statement. You can either slightly adjust your numbers to get to the correct totals (e.g., deduct/add 1,000,000 from an item in your financial reports) or you can just put in the numbers as they are, even if the totals slightly differ in that case. Just mention in your assumptions what you did, so we can take it into account when grading your assignment.</t>
  </si>
  <si>
    <t>Adjustments</t>
  </si>
  <si>
    <t>For some companies, there are small differences in the numbers from a same year in different reports. For example, the balance sheet numbers for 2019 can be slightly different in the annual report from 2020 compared to the annual report from 2019. The numbers differ because the annual report of 2020 includes some adjustments for the year 2019. In general, we advise you to use the unadjusted information. However, you need to make sure that this makes sense for your specific situation. If, for example, the unadjusted numbers seem weird to you, you might decide to use the adjusted numbers for better comparability. Just make sure to include in your assumptions which numbers you decide to use.</t>
  </si>
  <si>
    <t>Referencing</t>
  </si>
  <si>
    <r>
      <rPr>
        <rFont val="Calibri"/>
        <color theme="1"/>
        <sz val="11.0"/>
      </rPr>
      <t xml:space="preserve">● If you're only using the annual reports to complete the requirement (and </t>
    </r>
    <r>
      <rPr>
        <rFont val="Calibri"/>
        <b/>
        <color theme="1"/>
        <sz val="11.0"/>
      </rPr>
      <t>NO</t>
    </r>
    <r>
      <rPr>
        <rFont val="Calibri"/>
        <color theme="1"/>
        <sz val="11.0"/>
      </rPr>
      <t xml:space="preserve"> other external resources), then you don't need to add a bibliography or citations.
● If you use external resources in addition to the annual reports to complete the requirement, you need to cite all your sources,</t>
    </r>
    <r>
      <rPr>
        <rFont val="Calibri"/>
        <b/>
        <color theme="1"/>
        <sz val="11.0"/>
      </rPr>
      <t xml:space="preserve"> INCLUDING</t>
    </r>
    <r>
      <rPr>
        <rFont val="Calibri"/>
        <color theme="1"/>
        <sz val="11.0"/>
      </rPr>
      <t xml:space="preserve"> the annual reports.
In-text citations </t>
    </r>
    <r>
      <rPr>
        <rFont val="Calibri"/>
        <b/>
        <color theme="1"/>
        <sz val="11.0"/>
      </rPr>
      <t>DO NOT</t>
    </r>
    <r>
      <rPr>
        <rFont val="Calibri"/>
        <color theme="1"/>
        <sz val="11.0"/>
      </rPr>
      <t xml:space="preserve"> count towards the total word limit.</t>
    </r>
  </si>
  <si>
    <t>Company:</t>
  </si>
  <si>
    <t>ALSO Holding AG</t>
  </si>
  <si>
    <t>Group Number</t>
  </si>
  <si>
    <t>*Please check the notes at the end of the Standardized Statement</t>
  </si>
  <si>
    <t>Standardized Balance Sheet</t>
  </si>
  <si>
    <t>Intangible fixed assets</t>
  </si>
  <si>
    <t>Tangible fixed assets</t>
  </si>
  <si>
    <t>Other fixed assets</t>
  </si>
  <si>
    <t>Total fixed assets</t>
  </si>
  <si>
    <t>Inventory</t>
  </si>
  <si>
    <t>Accounts receivable</t>
  </si>
  <si>
    <t>Cash and cash equivalents</t>
  </si>
  <si>
    <t>Other current assets</t>
  </si>
  <si>
    <t>Total current assets</t>
  </si>
  <si>
    <t>TOTAL ASSETS</t>
  </si>
  <si>
    <t>Issued share capital</t>
  </si>
  <si>
    <t>Other equity</t>
  </si>
  <si>
    <t>TOTAL EQUITY</t>
  </si>
  <si>
    <t>Long-term liabilities</t>
  </si>
  <si>
    <t>Total non-current liabilities</t>
  </si>
  <si>
    <t>Accounts payable</t>
  </si>
  <si>
    <t>Other current liabilities</t>
  </si>
  <si>
    <t>Total current liabilities</t>
  </si>
  <si>
    <t>TOTAL EQUITY AND LIABILITIES</t>
  </si>
  <si>
    <t xml:space="preserve">* Notes: </t>
  </si>
  <si>
    <t>Just in case, please write down your own ASSUMPTIONS here:</t>
  </si>
  <si>
    <t xml:space="preserve">- Please use the following number format: 5000000 instead of 5M or 5 Million 
- Please use a comma for decimals 
- The template uses the EUR currency. In the very unlikely event of your financial statements using a different currency, focus on the numbers and not the currency sign. 
</t>
  </si>
  <si>
    <t>Property, Plant and Equipment is allocated to ,,Intangible Fixed Assets"; Trade Receivables are allocated to ,,Account Receivables"; Prepaid expenses, accrued income and other receivables are allocated to ,,Other Current Assets"; Derivative Financial Instruments are allocated to ,,Other Current Assets"; Assets Held for Sale are allocated to ,,Other Current Assets"; Financial Assets, Derivative Financial Instruments, Deffered Tax Assets, Employee Benefits, Prepaid Expenses, Accrued Incomes and Other Receivables are all allocated to ,,Other Fixed Assets"; Equity Attributable to ALSO Shareholders is allocated to ,,Issued Share Capital"; Non-Controlling Interests are allocated to ,,Other Equity"; Financial Liabilities, Provisions, Derivative Financial Instruments, Deferred Tax Liabilities, Employee Benefits, Accrued Expenses, Deferred Income and Other Payables are all allocated to ,,Long-term Liabilities"; Trade Payables are allocated to ,,Accounts Payable"; Financial Liabilities, Accrued Expenses, Deferred Income, Derivative Financial Instruments, Tax Liabilities and Provisions are all allocated to ,,Other Current Liabilities".</t>
  </si>
  <si>
    <t>Company</t>
  </si>
  <si>
    <t>GRUPA AZOTY S.A</t>
  </si>
  <si>
    <t xml:space="preserve">Long-term liabilities </t>
  </si>
  <si>
    <t xml:space="preserve">Property, plant and equipment are allocated in "Tangible fixed assets"
Right-of-use assets are allocated in "Intagible fixed assets"
Investment property is allocated in allocated in "Tangible fixed asset"
Intangible assets
Goodwill” is allocated to “Intangible fixed assets”
Shares are allocated in "Other fixed assets"
Equity-accounted investees are allocated in "Other fixed assets"
Other financial assets are allocated in "Other fixed assets"
Derivative financial instruments are allocated in "Other fixed assets"
Other receivables are allocated in "Other fixed assets"
Deferred tax assets are allocated in "Other fixed assets"
Other non-current assets are allocated in "Other fixed assets"
Current assets
Inventories; Property rights are allocated in "Other current assets"; Derivative financial instruments are allocated in "Other current assets"; Other financial assets are allocated in "Other current assets"; Current tax assets are allocated in "Other current assets"; Trade and other receivables are allocated in "Accounts receivables"
Cash and cash equivalents; Other assets 
Equity and liabilities Share capital is allocated in "Issued Share capital" ; Share premium is allocated in "Other equity"; Hedging reserve is allocated in "Other equity"; Translation reserve is allocated in "Other equity"; Other capital reserves is allocated in "Other equity";  Retained earnings are allocated in "Other equity"; Non-controlling interests are allocated in "Other equity"; Liabilities - Borrowings, Lease liabilities Other financial liabilities, Employee benefit obligations, Trade and other payables, Provisions, Grants, Deferred tax liabilities are all allocated in "Long-term liabilities"
Borrowings, Derivative financial instruments Lease liabilities, Other financial liabilities Employee benefit obligations Current tax liabilities, Provisions, Grants are allocated in "Other current liabilities", Trade and other payables is allocated in "Accounts payable"
</t>
  </si>
  <si>
    <t>Standardized Income Statement</t>
  </si>
  <si>
    <t>Revenue</t>
  </si>
  <si>
    <r>
      <rPr>
        <rFont val="Calibri"/>
        <color theme="1"/>
      </rPr>
      <t>Cost of goods sold</t>
    </r>
    <r>
      <rPr>
        <rFont val="Calibri"/>
        <i/>
        <color theme="1"/>
        <sz val="11.0"/>
      </rPr>
      <t xml:space="preserve"> (enter positive number)</t>
    </r>
  </si>
  <si>
    <t>Gross profit</t>
  </si>
  <si>
    <r>
      <rPr>
        <rFont val="Calibri"/>
        <color theme="1"/>
      </rPr>
      <t>Other operating expenses</t>
    </r>
    <r>
      <rPr>
        <rFont val="Calibri"/>
        <i/>
        <color theme="1"/>
        <sz val="11.0"/>
      </rPr>
      <t xml:space="preserve"> (enter expenses as a negative number)</t>
    </r>
  </si>
  <si>
    <t>Operating profit (EBIT)</t>
  </si>
  <si>
    <r>
      <rPr>
        <rFont val="Calibri"/>
        <color theme="1"/>
      </rPr>
      <t>Financial expenses</t>
    </r>
    <r>
      <rPr>
        <rFont val="Calibri"/>
        <i/>
        <color theme="1"/>
        <sz val="11.0"/>
      </rPr>
      <t xml:space="preserve"> (enter expenses as a negative number)</t>
    </r>
  </si>
  <si>
    <r>
      <rPr>
        <rFont val="Calibri"/>
        <color theme="1"/>
      </rPr>
      <t xml:space="preserve">Financial income </t>
    </r>
    <r>
      <rPr>
        <rFont val="Calibri"/>
        <i/>
        <color theme="1"/>
        <sz val="11.0"/>
      </rPr>
      <t>(including share of profit or loss from associates)</t>
    </r>
  </si>
  <si>
    <t xml:space="preserve">Net financial income or expense </t>
  </si>
  <si>
    <t>Profit (loss) before tax</t>
  </si>
  <si>
    <r>
      <rPr>
        <rFont val="Calibri"/>
        <color theme="1"/>
      </rPr>
      <t xml:space="preserve">Income tax expense </t>
    </r>
    <r>
      <rPr>
        <rFont val="Calibri"/>
        <i/>
        <color theme="1"/>
        <sz val="11.0"/>
      </rPr>
      <t>(enter expenses as a negative number)</t>
    </r>
  </si>
  <si>
    <t>Net profit</t>
  </si>
  <si>
    <t xml:space="preserve">- Please use the following number format: 5000000 instead of 5M or 5 Million 
- Please use a comma for decimals 
- The template uses the EUR currency. In the very unlikely event of your financial statements using a different currency, focus on the numbers and not the currency sign. 
- The income statement within financial reports may sometimes be titled 'Statement of Profit and Loss,' 'Statement of Revenues,' 'Results from Operations,' or 'Results of Revenue.' 
- Please focus only on profit and loss from continued operations and disregard information in the statement of other comprehensive income.
</t>
  </si>
  <si>
    <t>Depreciation and amortization are recorded as operating expense; Other income was allocated to other operating expenses</t>
  </si>
  <si>
    <r>
      <rPr>
        <rFont val="Calibri"/>
        <color theme="1"/>
      </rPr>
      <t>Cost of goods sold</t>
    </r>
    <r>
      <rPr>
        <rFont val="Calibri"/>
        <i/>
        <color theme="1"/>
        <sz val="11.0"/>
      </rPr>
      <t xml:space="preserve"> (enter positive number)</t>
    </r>
  </si>
  <si>
    <r>
      <rPr>
        <rFont val="Calibri"/>
        <color theme="1"/>
      </rPr>
      <t>Other operating expenses</t>
    </r>
    <r>
      <rPr>
        <rFont val="Calibri"/>
        <i/>
        <color theme="1"/>
        <sz val="11.0"/>
      </rPr>
      <t xml:space="preserve"> (enter expenses as a negative number)</t>
    </r>
  </si>
  <si>
    <r>
      <rPr>
        <rFont val="Calibri"/>
        <color theme="1"/>
      </rPr>
      <t>Financial expenses</t>
    </r>
    <r>
      <rPr>
        <rFont val="Calibri"/>
        <i/>
        <color theme="1"/>
        <sz val="11.0"/>
      </rPr>
      <t xml:space="preserve"> (enter expenses as a negative number)</t>
    </r>
  </si>
  <si>
    <r>
      <rPr>
        <rFont val="Calibri"/>
        <color theme="1"/>
      </rPr>
      <t xml:space="preserve">Financial income </t>
    </r>
    <r>
      <rPr>
        <rFont val="Calibri"/>
        <i/>
        <color theme="1"/>
        <sz val="11.0"/>
      </rPr>
      <t>(including share of profit or loss from associates)</t>
    </r>
  </si>
  <si>
    <r>
      <rPr>
        <rFont val="Calibri"/>
        <color theme="1"/>
      </rPr>
      <t xml:space="preserve">Income tax expense </t>
    </r>
    <r>
      <rPr>
        <rFont val="Calibri"/>
        <i/>
        <color theme="1"/>
        <sz val="11.0"/>
      </rPr>
      <t>(enter expenses as a negative number)</t>
    </r>
  </si>
  <si>
    <t>For all Income statements and Balance sheets the recorded values are in billions, since in the reports they were written down as millions (in thousands).; Other income was allocated to other operating expenses; Share of profit of equity-accounted investees was allocated to Net financial income</t>
  </si>
  <si>
    <t>Additional data</t>
  </si>
  <si>
    <t>Statutory tax rate (e.g. tax disclosure note)</t>
  </si>
  <si>
    <t xml:space="preserve">* Note: </t>
  </si>
  <si>
    <t>Usually the statutory tax rate is mentioned in the annual report. Sometimes it is not. If this is the case, use other sources.
(e.g. on the website of the OECD the statutory tax rate for the Netherlands is 25%) 
https://stats.oecd.org/index.aspx?DataSetCode=Table_II1</t>
  </si>
  <si>
    <t>We used Switzerland's Corporate Income Tax Rate  as the headquarters of Also Holding is in Switzerland and they do not provide any necessary data in the financial statements</t>
  </si>
  <si>
    <t>We took the data from the OECD website, as the corporate income tax rate</t>
  </si>
  <si>
    <t xml:space="preserve">Vertical Analysis </t>
  </si>
  <si>
    <t>As Percentage of Total Assets</t>
  </si>
  <si>
    <t>As Percentage of Total Revenue</t>
  </si>
  <si>
    <t>Horizontal Analysis</t>
  </si>
  <si>
    <t>Ratio Analysis</t>
  </si>
  <si>
    <t>Profitability</t>
  </si>
  <si>
    <t>Return on Equity</t>
  </si>
  <si>
    <t>Return on Assets</t>
  </si>
  <si>
    <t>Return on Financial Leverage</t>
  </si>
  <si>
    <t>Earnings without Interest expense</t>
  </si>
  <si>
    <t>Gross profit margin</t>
  </si>
  <si>
    <t>Profit margin</t>
  </si>
  <si>
    <t>Activity</t>
  </si>
  <si>
    <t>Accounts receivable turnover</t>
  </si>
  <si>
    <t>Average Collection Period</t>
  </si>
  <si>
    <t>Inventory turnover</t>
  </si>
  <si>
    <t>Average days inventory outstanding</t>
  </si>
  <si>
    <t>Asset turnover</t>
  </si>
  <si>
    <t>Solvency &amp; Liquidity</t>
  </si>
  <si>
    <t>Current ratio</t>
  </si>
  <si>
    <t>Quick ratio</t>
  </si>
  <si>
    <t>Debt to equity ratio</t>
  </si>
  <si>
    <t xml:space="preserve">Times Interest earned </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</si>
</sst>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 #,##0.00\ &quot;€&quot;_-;\-* #,##0.00\ &quot;€&quot;_-;_-* &quot;-&quot;??\ &quot;€&quot;_-;_-@"/>
    <numFmt numFmtId="165" formatCode="_-* #,##0.00\ &quot;€&quot;_-;\-* #,##0.00\ &quot;€&quot;_-;_-* &quot;-&quot;??.0\ &quot;€&quot;_-;_-@"/>
  </numFmts>
  <fonts count="18">
    <font>
      <sz val="11.0"/>
      <color theme="1"/>
      <name val="Calibri"/>
      <scheme val="minor"/>
    </font>
    <font>
      <b/>
      <sz val="16.0"/>
      <color theme="0"/>
      <name val="Calibri"/>
    </font>
    <font/>
    <font>
      <sz val="11.0"/>
      <color theme="1"/>
      <name val="Calibri"/>
    </font>
    <font>
      <b/>
      <sz val="12.0"/>
      <color theme="1"/>
      <name val="Calibri"/>
    </font>
    <font>
      <b/>
      <i/>
      <sz val="12.0"/>
      <color theme="1"/>
      <name val="Calibri"/>
    </font>
    <font>
      <color theme="1"/>
      <name val="Calibri"/>
      <scheme val="minor"/>
    </font>
    <font>
      <b/>
      <sz val="16.0"/>
      <color rgb="FFFFFFFF"/>
      <name val="Calibri"/>
    </font>
    <font>
      <i/>
      <sz val="11.0"/>
      <color theme="1"/>
      <name val="Calibri"/>
    </font>
    <font>
      <b/>
      <sz val="18.0"/>
      <color theme="1"/>
      <name val="Calibri"/>
    </font>
    <font>
      <b/>
      <sz val="11.0"/>
      <color theme="1"/>
      <name val="Calibri"/>
    </font>
    <font>
      <sz val="11.0"/>
      <color rgb="FF000000"/>
      <name val="Calibri"/>
    </font>
    <font>
      <b/>
      <i/>
      <sz val="11.0"/>
      <color theme="1"/>
      <name val="Calibri"/>
    </font>
    <font>
      <b/>
      <sz val="16.0"/>
      <color theme="1"/>
      <name val="Calibri"/>
    </font>
    <font>
      <sz val="9.0"/>
      <color rgb="FF595959"/>
      <name val="Arial"/>
    </font>
    <font>
      <sz val="9.0"/>
      <color rgb="FF1F1F1F"/>
      <name val="Arial"/>
    </font>
    <font>
      <sz val="16.0"/>
      <color theme="0"/>
      <name val="Calibri"/>
    </font>
    <font>
      <sz val="11.0"/>
      <color theme="0"/>
      <name val="Calibri"/>
    </font>
  </fonts>
  <fills count="5">
    <fill>
      <patternFill patternType="none"/>
    </fill>
    <fill>
      <patternFill patternType="lightGray"/>
    </fill>
    <fill>
      <patternFill patternType="solid">
        <fgColor rgb="FF002060"/>
        <bgColor rgb="FF002060"/>
      </patternFill>
    </fill>
    <fill>
      <patternFill patternType="solid">
        <fgColor rgb="FFBFBFBF"/>
        <bgColor rgb="FFBFBFBF"/>
      </patternFill>
    </fill>
    <fill>
      <patternFill patternType="solid">
        <fgColor rgb="FFFFFFFF"/>
        <bgColor rgb="FFFFFFFF"/>
      </patternFill>
    </fill>
  </fills>
  <borders count="19">
    <border/>
    <border>
      <left style="medium">
        <color rgb="FF000000"/>
      </left>
      <top style="medium">
        <color rgb="FF000000"/>
      </top>
      <bottom/>
    </border>
    <border>
      <top style="medium">
        <color rgb="FF000000"/>
      </top>
      <bottom/>
    </border>
    <border>
      <right style="medium">
        <color rgb="FF000000"/>
      </right>
      <top style="medium">
        <color rgb="FF000000"/>
      </top>
      <bottom/>
    </border>
    <border>
      <left style="medium">
        <color rgb="FF000000"/>
      </left>
    </border>
    <border>
      <right style="medium">
        <color rgb="FF000000"/>
      </right>
    </border>
    <border>
      <left style="medium">
        <color rgb="FF000000"/>
      </left>
      <bottom style="thin">
        <color rgb="FF000000"/>
      </bottom>
    </border>
    <border>
      <bottom style="thin">
        <color rgb="FF000000"/>
      </bottom>
    </border>
    <border>
      <right style="medium">
        <color rgb="FF000000"/>
      </right>
      <bottom style="thin">
        <color rgb="FF000000"/>
      </bottom>
    </border>
    <border>
      <left style="medium">
        <color rgb="FF000000"/>
      </left>
      <bottom style="medium">
        <color rgb="FF000000"/>
      </bottom>
    </border>
    <border>
      <bottom style="medium">
        <color rgb="FF000000"/>
      </bottom>
    </border>
    <border>
      <right style="medium">
        <color rgb="FF000000"/>
      </right>
      <bottom style="medium">
        <color rgb="FF000000"/>
      </bottom>
    </border>
    <border>
      <left/>
      <right/>
      <top/>
      <bottom/>
    </border>
    <border>
      <left/>
      <top/>
      <bottom/>
    </border>
    <border>
      <top/>
      <bottom/>
    </border>
    <border>
      <right/>
      <top/>
      <bottom/>
    </border>
    <border>
      <top style="thin">
        <color rgb="FF000000"/>
      </top>
      <bottom style="double">
        <color rgb="FF000000"/>
      </bottom>
    </border>
    <border>
      <left style="medium">
        <color rgb="FF000000"/>
      </left>
      <right style="medium">
        <color rgb="FF000000"/>
      </right>
      <top style="medium">
        <color rgb="FF000000"/>
      </top>
      <bottom style="medium">
        <color rgb="FF000000"/>
      </bottom>
    </border>
    <border>
      <bottom style="double">
        <color rgb="FF000000"/>
      </bottom>
    </border>
  </borders>
  <cellStyleXfs count="1">
    <xf borderId="0" fillId="0" fontId="0" numFmtId="0" applyAlignment="1" applyFont="1"/>
  </cellStyleXfs>
  <cellXfs count="68">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0" fontId="2" numFmtId="0" xfId="0" applyBorder="1" applyFont="1"/>
    <xf borderId="4" fillId="0" fontId="3" numFmtId="0" xfId="0" applyBorder="1" applyFont="1"/>
    <xf borderId="5" fillId="0" fontId="3" numFmtId="0" xfId="0" applyBorder="1" applyFont="1"/>
    <xf borderId="6" fillId="0" fontId="4" numFmtId="0" xfId="0" applyAlignment="1" applyBorder="1" applyFont="1">
      <alignment horizontal="center"/>
    </xf>
    <xf borderId="7" fillId="0" fontId="2" numFmtId="0" xfId="0" applyBorder="1" applyFont="1"/>
    <xf borderId="8" fillId="0" fontId="2" numFmtId="0" xfId="0" applyBorder="1" applyFont="1"/>
    <xf borderId="4" fillId="0" fontId="3" numFmtId="0" xfId="0" applyAlignment="1" applyBorder="1" applyFont="1">
      <alignment horizontal="left" shrinkToFit="0" vertical="top" wrapText="1"/>
    </xf>
    <xf borderId="5" fillId="0" fontId="2" numFmtId="0" xfId="0" applyBorder="1" applyFont="1"/>
    <xf borderId="6" fillId="0" fontId="4" numFmtId="0" xfId="0" applyAlignment="1" applyBorder="1" applyFont="1">
      <alignment horizontal="left" vertical="center"/>
    </xf>
    <xf borderId="4" fillId="0" fontId="5" numFmtId="0" xfId="0" applyBorder="1" applyFont="1"/>
    <xf borderId="0" fillId="0" fontId="5" numFmtId="0" xfId="0" applyFont="1"/>
    <xf borderId="0" fillId="0" fontId="6" numFmtId="0" xfId="0" applyFont="1"/>
    <xf borderId="9" fillId="0" fontId="3" numFmtId="0" xfId="0" applyAlignment="1" applyBorder="1" applyFont="1">
      <alignment horizontal="left" shrinkToFit="0" vertical="top" wrapText="1"/>
    </xf>
    <xf borderId="10" fillId="0" fontId="2" numFmtId="0" xfId="0" applyBorder="1" applyFont="1"/>
    <xf borderId="11" fillId="0" fontId="2" numFmtId="0" xfId="0" applyBorder="1" applyFont="1"/>
    <xf borderId="12" fillId="2" fontId="1" numFmtId="0" xfId="0" applyBorder="1" applyFont="1"/>
    <xf borderId="13" fillId="2" fontId="7" numFmtId="0" xfId="0" applyAlignment="1" applyBorder="1" applyFont="1">
      <alignment horizontal="left" readingOrder="0"/>
    </xf>
    <xf borderId="14" fillId="0" fontId="2" numFmtId="0" xfId="0" applyBorder="1" applyFont="1"/>
    <xf borderId="15" fillId="0" fontId="2" numFmtId="0" xfId="0" applyBorder="1" applyFont="1"/>
    <xf borderId="12" fillId="2" fontId="1" numFmtId="0" xfId="0" applyAlignment="1" applyBorder="1" applyFont="1">
      <alignment horizontal="left"/>
    </xf>
    <xf borderId="0" fillId="0" fontId="8" numFmtId="0" xfId="0" applyFont="1"/>
    <xf borderId="0" fillId="0" fontId="9" numFmtId="0" xfId="0" applyAlignment="1" applyFont="1">
      <alignment horizontal="center"/>
    </xf>
    <xf borderId="12" fillId="3" fontId="10" numFmtId="0" xfId="0" applyBorder="1" applyFill="1" applyFont="1"/>
    <xf borderId="0" fillId="0" fontId="11" numFmtId="164" xfId="0" applyAlignment="1" applyFont="1" applyNumberFormat="1">
      <alignment readingOrder="0"/>
    </xf>
    <xf borderId="0" fillId="0" fontId="3" numFmtId="164" xfId="0" applyAlignment="1" applyFont="1" applyNumberFormat="1">
      <alignment readingOrder="0"/>
    </xf>
    <xf borderId="7" fillId="0" fontId="3" numFmtId="164" xfId="0" applyAlignment="1" applyBorder="1" applyFont="1" applyNumberFormat="1">
      <alignment readingOrder="0"/>
    </xf>
    <xf borderId="7" fillId="0" fontId="11" numFmtId="164" xfId="0" applyAlignment="1" applyBorder="1" applyFont="1" applyNumberFormat="1">
      <alignment readingOrder="0"/>
    </xf>
    <xf borderId="0" fillId="0" fontId="12" numFmtId="0" xfId="0" applyFont="1"/>
    <xf borderId="0" fillId="0" fontId="10" numFmtId="164" xfId="0" applyFont="1" applyNumberFormat="1"/>
    <xf borderId="0" fillId="0" fontId="3" numFmtId="164" xfId="0" applyFont="1" applyNumberFormat="1"/>
    <xf borderId="0" fillId="0" fontId="10" numFmtId="0" xfId="0" applyFont="1"/>
    <xf borderId="16" fillId="0" fontId="10" numFmtId="164" xfId="0" applyBorder="1" applyFont="1" applyNumberFormat="1"/>
    <xf borderId="0" fillId="0" fontId="10" numFmtId="164" xfId="0" applyAlignment="1" applyFont="1" applyNumberFormat="1">
      <alignment readingOrder="0"/>
    </xf>
    <xf quotePrefix="1" borderId="0" fillId="0" fontId="3" numFmtId="0" xfId="0" applyAlignment="1" applyFont="1">
      <alignment horizontal="left" shrinkToFit="0" vertical="top" wrapText="1"/>
    </xf>
    <xf borderId="17" fillId="0" fontId="11" numFmtId="0" xfId="0" applyAlignment="1" applyBorder="1" applyFont="1">
      <alignment horizontal="left" readingOrder="0" shrinkToFit="0" vertical="top" wrapText="1"/>
    </xf>
    <xf borderId="0" fillId="0" fontId="3" numFmtId="165" xfId="0" applyFont="1" applyNumberFormat="1"/>
    <xf borderId="7" fillId="0" fontId="3" numFmtId="165" xfId="0" applyBorder="1" applyFont="1" applyNumberFormat="1"/>
    <xf borderId="0" fillId="0" fontId="3" numFmtId="0" xfId="0" applyFont="1"/>
    <xf borderId="7" fillId="0" fontId="3" numFmtId="164" xfId="0" applyBorder="1" applyFont="1" applyNumberFormat="1"/>
    <xf borderId="17" fillId="0" fontId="3" numFmtId="0" xfId="0" applyAlignment="1" applyBorder="1" applyFont="1">
      <alignment horizontal="left" shrinkToFit="0" vertical="top" wrapText="1"/>
    </xf>
    <xf borderId="13" fillId="2" fontId="1" numFmtId="0" xfId="0" applyAlignment="1" applyBorder="1" applyFont="1">
      <alignment horizontal="left"/>
    </xf>
    <xf borderId="0" fillId="0" fontId="13" numFmtId="0" xfId="0" applyAlignment="1" applyFont="1">
      <alignment horizontal="center"/>
    </xf>
    <xf borderId="18" fillId="0" fontId="3" numFmtId="164" xfId="0" applyBorder="1" applyFont="1" applyNumberFormat="1"/>
    <xf borderId="17" fillId="0" fontId="3" numFmtId="0" xfId="0" applyAlignment="1" applyBorder="1" applyFont="1">
      <alignment horizontal="left" readingOrder="0" vertical="top"/>
    </xf>
    <xf borderId="0" fillId="0" fontId="14" numFmtId="164" xfId="0" applyAlignment="1" applyFont="1" applyNumberFormat="1">
      <alignment readingOrder="0"/>
    </xf>
    <xf borderId="0" fillId="4" fontId="15" numFmtId="164" xfId="0" applyAlignment="1" applyFill="1" applyFont="1" applyNumberFormat="1">
      <alignment readingOrder="0" shrinkToFit="0" wrapText="0"/>
    </xf>
    <xf borderId="0" fillId="0" fontId="6" numFmtId="0" xfId="0" applyAlignment="1" applyFont="1">
      <alignment readingOrder="0"/>
    </xf>
    <xf borderId="0" fillId="0" fontId="3" numFmtId="10" xfId="0" applyAlignment="1" applyFont="1" applyNumberFormat="1">
      <alignment readingOrder="0"/>
    </xf>
    <xf borderId="0" fillId="0" fontId="3" numFmtId="0" xfId="0" applyAlignment="1" applyFont="1">
      <alignment horizontal="left" shrinkToFit="0" vertical="top" wrapText="1"/>
    </xf>
    <xf borderId="12" fillId="2" fontId="7" numFmtId="0" xfId="0" applyAlignment="1" applyBorder="1" applyFont="1">
      <alignment readingOrder="0"/>
    </xf>
    <xf borderId="0" fillId="0" fontId="3" numFmtId="9" xfId="0" applyFont="1" applyNumberFormat="1"/>
    <xf borderId="0" fillId="0" fontId="10" numFmtId="0" xfId="0" applyAlignment="1" applyFont="1">
      <alignment horizontal="center"/>
    </xf>
    <xf borderId="0" fillId="0" fontId="8" numFmtId="0" xfId="0" applyAlignment="1" applyFont="1">
      <alignment horizontal="center"/>
    </xf>
    <xf borderId="0" fillId="0" fontId="3" numFmtId="10" xfId="0" applyFont="1" applyNumberFormat="1"/>
    <xf borderId="7" fillId="0" fontId="3" numFmtId="10" xfId="0" applyBorder="1" applyFont="1" applyNumberFormat="1"/>
    <xf borderId="0" fillId="0" fontId="10" numFmtId="10" xfId="0" applyFont="1" applyNumberFormat="1"/>
    <xf borderId="16" fillId="0" fontId="10" numFmtId="10" xfId="0" applyBorder="1" applyFont="1" applyNumberFormat="1"/>
    <xf borderId="18" fillId="0" fontId="3" numFmtId="10" xfId="0" applyBorder="1" applyFont="1" applyNumberFormat="1"/>
    <xf borderId="13" fillId="2" fontId="16" numFmtId="0" xfId="0" applyAlignment="1" applyBorder="1" applyFont="1">
      <alignment horizontal="left"/>
    </xf>
    <xf borderId="12" fillId="2" fontId="16" numFmtId="0" xfId="0" applyAlignment="1" applyBorder="1" applyFont="1">
      <alignment horizontal="left"/>
    </xf>
    <xf borderId="0" fillId="0" fontId="6" numFmtId="164" xfId="0" applyFont="1" applyNumberFormat="1"/>
    <xf borderId="18" fillId="0" fontId="3" numFmtId="0" xfId="0" applyBorder="1" applyFont="1"/>
    <xf borderId="7" fillId="0" fontId="3" numFmtId="0" xfId="0" applyBorder="1" applyFont="1"/>
    <xf borderId="12" fillId="2" fontId="17" numFmtId="0" xfId="0" applyAlignment="1" applyBorder="1" applyFont="1">
      <alignment horizontal="left"/>
    </xf>
    <xf borderId="0" fillId="0" fontId="3" numFmtId="2"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customschemas.google.com/relationships/workbookmetadata" Target="metadata"/><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62.43"/>
    <col customWidth="1" min="2" max="2" width="36.86"/>
    <col customWidth="1" min="3" max="3" width="8.86"/>
    <col customWidth="1" min="4" max="4" width="104.14"/>
    <col customWidth="1" min="5" max="26" width="8.86"/>
  </cols>
  <sheetData>
    <row r="1">
      <c r="A1" s="1" t="s">
        <v>0</v>
      </c>
      <c r="B1" s="2"/>
      <c r="C1" s="2"/>
      <c r="D1" s="3"/>
    </row>
    <row r="2">
      <c r="A2" s="4"/>
      <c r="D2" s="5"/>
    </row>
    <row r="3">
      <c r="A3" s="6" t="s">
        <v>1</v>
      </c>
      <c r="B3" s="7"/>
      <c r="C3" s="7"/>
      <c r="D3" s="8"/>
    </row>
    <row r="4">
      <c r="A4" s="4"/>
      <c r="D4" s="5"/>
    </row>
    <row r="5" ht="181.5" customHeight="1">
      <c r="A5" s="9" t="s">
        <v>2</v>
      </c>
      <c r="D5" s="10"/>
    </row>
    <row r="6">
      <c r="A6" s="4"/>
      <c r="D6" s="5"/>
    </row>
    <row r="7">
      <c r="A7" s="11" t="s">
        <v>3</v>
      </c>
      <c r="B7" s="7"/>
      <c r="C7" s="7"/>
      <c r="D7" s="8"/>
    </row>
    <row r="8">
      <c r="A8" s="4" t="s">
        <v>4</v>
      </c>
      <c r="D8" s="5"/>
    </row>
    <row r="9">
      <c r="A9" s="12" t="s">
        <v>5</v>
      </c>
      <c r="C9" s="13" t="s">
        <v>6</v>
      </c>
      <c r="D9" s="5"/>
    </row>
    <row r="10">
      <c r="A10" s="4"/>
      <c r="D10" s="5"/>
    </row>
    <row r="11">
      <c r="A11" s="4" t="s">
        <v>7</v>
      </c>
      <c r="C11" s="14" t="s">
        <v>8</v>
      </c>
      <c r="D11" s="5"/>
    </row>
    <row r="12">
      <c r="A12" s="4" t="s">
        <v>9</v>
      </c>
      <c r="C12" s="14" t="s">
        <v>10</v>
      </c>
      <c r="D12" s="5"/>
    </row>
    <row r="13">
      <c r="A13" s="4" t="s">
        <v>11</v>
      </c>
      <c r="C13" s="14" t="s">
        <v>12</v>
      </c>
      <c r="D13" s="5"/>
    </row>
    <row r="14">
      <c r="A14" s="4" t="s">
        <v>13</v>
      </c>
      <c r="C14" s="14" t="s">
        <v>14</v>
      </c>
      <c r="D14" s="5"/>
    </row>
    <row r="15">
      <c r="A15" s="4" t="s">
        <v>15</v>
      </c>
      <c r="C15" s="14" t="s">
        <v>16</v>
      </c>
      <c r="D15" s="5"/>
    </row>
    <row r="16">
      <c r="A16" s="4" t="s">
        <v>17</v>
      </c>
      <c r="C16" s="14" t="s">
        <v>18</v>
      </c>
      <c r="D16" s="5"/>
    </row>
    <row r="17">
      <c r="A17" s="4" t="s">
        <v>19</v>
      </c>
      <c r="C17" s="14" t="s">
        <v>20</v>
      </c>
      <c r="D17" s="5"/>
    </row>
    <row r="18">
      <c r="A18" s="4" t="s">
        <v>21</v>
      </c>
      <c r="C18" s="14" t="s">
        <v>22</v>
      </c>
      <c r="D18" s="5"/>
    </row>
    <row r="19">
      <c r="A19" s="4" t="s">
        <v>23</v>
      </c>
      <c r="C19" s="14" t="s">
        <v>24</v>
      </c>
      <c r="D19" s="5"/>
    </row>
    <row r="20">
      <c r="A20" s="4" t="s">
        <v>25</v>
      </c>
      <c r="C20" s="14" t="s">
        <v>26</v>
      </c>
      <c r="D20" s="5"/>
    </row>
    <row r="21" ht="15.75" customHeight="1">
      <c r="A21" s="4" t="s">
        <v>27</v>
      </c>
      <c r="C21" s="14" t="s">
        <v>28</v>
      </c>
      <c r="D21" s="5"/>
    </row>
    <row r="22" ht="15.75" customHeight="1">
      <c r="A22" s="4" t="s">
        <v>29</v>
      </c>
      <c r="C22" s="14" t="s">
        <v>30</v>
      </c>
      <c r="D22" s="5"/>
    </row>
    <row r="23" ht="15.75" customHeight="1">
      <c r="A23" s="4" t="s">
        <v>31</v>
      </c>
      <c r="C23" s="14" t="s">
        <v>32</v>
      </c>
      <c r="D23" s="5"/>
    </row>
    <row r="24" ht="15.75" customHeight="1">
      <c r="A24" s="4" t="s">
        <v>33</v>
      </c>
      <c r="C24" s="14" t="s">
        <v>34</v>
      </c>
      <c r="D24" s="5"/>
    </row>
    <row r="25" ht="15.75" customHeight="1">
      <c r="A25" s="4" t="s">
        <v>35</v>
      </c>
      <c r="C25" s="14" t="s">
        <v>36</v>
      </c>
      <c r="D25" s="5"/>
    </row>
    <row r="26" ht="15.75" customHeight="1">
      <c r="A26" s="4" t="s">
        <v>37</v>
      </c>
      <c r="C26" s="14" t="s">
        <v>38</v>
      </c>
      <c r="D26" s="5"/>
    </row>
    <row r="27" ht="15.75" customHeight="1">
      <c r="A27" s="4" t="s">
        <v>39</v>
      </c>
      <c r="C27" s="14" t="s">
        <v>40</v>
      </c>
      <c r="D27" s="5"/>
    </row>
    <row r="28" ht="15.75" customHeight="1">
      <c r="A28" s="4" t="s">
        <v>41</v>
      </c>
      <c r="C28" s="14" t="s">
        <v>42</v>
      </c>
      <c r="D28" s="5"/>
    </row>
    <row r="29" ht="15.75" customHeight="1">
      <c r="A29" s="4" t="s">
        <v>43</v>
      </c>
      <c r="C29" s="14" t="s">
        <v>44</v>
      </c>
      <c r="D29" s="5"/>
    </row>
    <row r="30" ht="15.75" customHeight="1">
      <c r="A30" s="4" t="s">
        <v>45</v>
      </c>
      <c r="C30" s="14" t="s">
        <v>46</v>
      </c>
      <c r="D30" s="5"/>
    </row>
    <row r="31" ht="15.75" customHeight="1">
      <c r="A31" s="4" t="s">
        <v>47</v>
      </c>
      <c r="D31" s="5"/>
    </row>
    <row r="32" ht="15.75" customHeight="1">
      <c r="A32" s="4" t="s">
        <v>48</v>
      </c>
      <c r="D32" s="5"/>
    </row>
    <row r="33" ht="15.75" customHeight="1">
      <c r="A33" s="4" t="s">
        <v>49</v>
      </c>
      <c r="D33" s="5"/>
    </row>
    <row r="34" ht="15.75" customHeight="1">
      <c r="A34" s="4" t="s">
        <v>50</v>
      </c>
      <c r="D34" s="5"/>
    </row>
    <row r="35" ht="15.75" customHeight="1">
      <c r="A35" s="4" t="s">
        <v>51</v>
      </c>
      <c r="D35" s="5"/>
    </row>
    <row r="36" ht="15.75" customHeight="1">
      <c r="A36" s="4" t="s">
        <v>52</v>
      </c>
      <c r="D36" s="5"/>
    </row>
    <row r="37" ht="15.75" customHeight="1">
      <c r="A37" s="4" t="s">
        <v>53</v>
      </c>
      <c r="D37" s="5"/>
    </row>
    <row r="38" ht="15.75" customHeight="1">
      <c r="A38" s="4" t="s">
        <v>54</v>
      </c>
      <c r="D38" s="5"/>
    </row>
    <row r="39" ht="15.75" customHeight="1">
      <c r="A39" s="4" t="s">
        <v>55</v>
      </c>
      <c r="D39" s="5"/>
    </row>
    <row r="40" ht="15.75" customHeight="1">
      <c r="A40" s="4" t="s">
        <v>56</v>
      </c>
      <c r="D40" s="5"/>
    </row>
    <row r="41" ht="15.75" customHeight="1">
      <c r="A41" s="4"/>
      <c r="D41" s="5"/>
    </row>
    <row r="42" ht="15.75" customHeight="1">
      <c r="A42" s="4"/>
      <c r="D42" s="5"/>
    </row>
    <row r="43" ht="15.75" customHeight="1">
      <c r="A43" s="12" t="s">
        <v>57</v>
      </c>
      <c r="D43" s="5"/>
    </row>
    <row r="44" ht="15.75" customHeight="1">
      <c r="A44" s="4"/>
      <c r="D44" s="5"/>
    </row>
    <row r="45" ht="96.0" customHeight="1">
      <c r="A45" s="9" t="s">
        <v>58</v>
      </c>
      <c r="D45" s="10"/>
    </row>
    <row r="46" ht="15.75" customHeight="1">
      <c r="A46" s="4"/>
      <c r="D46" s="5"/>
    </row>
    <row r="47" ht="15.75" customHeight="1">
      <c r="A47" s="12" t="s">
        <v>59</v>
      </c>
      <c r="D47" s="5"/>
    </row>
    <row r="48" ht="15.75" customHeight="1">
      <c r="A48" s="4"/>
      <c r="D48" s="5"/>
    </row>
    <row r="49" ht="81.75" customHeight="1">
      <c r="A49" s="9" t="s">
        <v>60</v>
      </c>
      <c r="D49" s="10"/>
    </row>
    <row r="50" ht="15.75" customHeight="1">
      <c r="A50" s="4"/>
      <c r="D50" s="5"/>
    </row>
    <row r="51" ht="15.75" customHeight="1">
      <c r="A51" s="6" t="s">
        <v>61</v>
      </c>
      <c r="B51" s="7"/>
      <c r="C51" s="7"/>
      <c r="D51" s="8"/>
    </row>
    <row r="52" ht="15.75" customHeight="1">
      <c r="A52" s="4"/>
      <c r="D52" s="5"/>
    </row>
    <row r="53" ht="91.5" customHeight="1">
      <c r="A53" s="15" t="s">
        <v>62</v>
      </c>
      <c r="B53" s="16"/>
      <c r="C53" s="16"/>
      <c r="D53" s="17"/>
    </row>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A1:D1"/>
    <mergeCell ref="A3:D3"/>
    <mergeCell ref="A5:D5"/>
    <mergeCell ref="A7:D7"/>
    <mergeCell ref="A45:D45"/>
    <mergeCell ref="A49:D49"/>
    <mergeCell ref="A51:D51"/>
    <mergeCell ref="A53:D53"/>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59.29"/>
    <col customWidth="1" min="2" max="2" width="28.14"/>
    <col customWidth="1" min="3" max="3" width="37.86"/>
    <col customWidth="1" min="4" max="4" width="24.86"/>
    <col customWidth="1" min="5" max="5" width="16.0"/>
    <col customWidth="1" min="6" max="6" width="93.71"/>
    <col customWidth="1" min="7" max="26" width="8.86"/>
  </cols>
  <sheetData>
    <row r="1">
      <c r="A1" s="18" t="s">
        <v>63</v>
      </c>
      <c r="B1" s="19" t="s">
        <v>64</v>
      </c>
      <c r="C1" s="20"/>
      <c r="D1" s="21"/>
    </row>
    <row r="2">
      <c r="A2" s="18"/>
      <c r="B2" s="22"/>
      <c r="C2" s="22"/>
      <c r="D2" s="22"/>
    </row>
    <row r="3">
      <c r="A3" s="18" t="s">
        <v>65</v>
      </c>
      <c r="B3" s="19">
        <v>30.0</v>
      </c>
      <c r="C3" s="20"/>
      <c r="D3" s="21"/>
    </row>
    <row r="4">
      <c r="A4" s="23" t="s">
        <v>66</v>
      </c>
    </row>
    <row r="5">
      <c r="B5" s="24" t="s">
        <v>67</v>
      </c>
    </row>
    <row r="7">
      <c r="B7" s="25">
        <v>2023.0</v>
      </c>
      <c r="C7" s="25">
        <v>2022.0</v>
      </c>
      <c r="D7" s="25">
        <v>2021.0</v>
      </c>
    </row>
    <row r="9">
      <c r="A9" s="14" t="s">
        <v>68</v>
      </c>
      <c r="B9" s="26">
        <v>2.42947E8</v>
      </c>
      <c r="C9" s="27">
        <v>2.26175E8</v>
      </c>
      <c r="D9" s="27">
        <v>2.0718E8</v>
      </c>
    </row>
    <row r="10">
      <c r="A10" s="14" t="s">
        <v>69</v>
      </c>
      <c r="B10" s="26">
        <v>1.45569E8</v>
      </c>
      <c r="C10" s="27">
        <v>1.39325E8</v>
      </c>
      <c r="D10" s="27">
        <v>1.44206E8</v>
      </c>
    </row>
    <row r="11">
      <c r="A11" s="14" t="s">
        <v>70</v>
      </c>
      <c r="B11" s="28">
        <v>7.569E7</v>
      </c>
      <c r="C11" s="28">
        <v>8.2975E7</v>
      </c>
      <c r="D11" s="29">
        <v>4.1514E7</v>
      </c>
    </row>
    <row r="12">
      <c r="A12" s="30" t="s">
        <v>71</v>
      </c>
      <c r="B12" s="31">
        <f>A_IFA_20+A_TFA_20+A_OFA_20</f>
        <v>464206000</v>
      </c>
      <c r="C12" s="31">
        <f>A_IFA_19+A_TFA_19+A_OFA_19</f>
        <v>448475000</v>
      </c>
      <c r="D12" s="31">
        <f>A_IFA_18+A_TFA_18+A_OFA_18</f>
        <v>392900000</v>
      </c>
    </row>
    <row r="13">
      <c r="B13" s="32"/>
      <c r="C13" s="32"/>
      <c r="D13" s="32"/>
    </row>
    <row r="14">
      <c r="A14" s="14" t="s">
        <v>72</v>
      </c>
      <c r="B14" s="26">
        <v>7.67194E8</v>
      </c>
      <c r="C14" s="27">
        <v>9.81396E8</v>
      </c>
      <c r="D14" s="27">
        <v>9.10018E8</v>
      </c>
    </row>
    <row r="15">
      <c r="A15" s="14" t="s">
        <v>73</v>
      </c>
      <c r="B15" s="27">
        <v>7.22066E8</v>
      </c>
      <c r="C15" s="27">
        <v>8.03251E8</v>
      </c>
      <c r="D15" s="27">
        <v>6.91874E8</v>
      </c>
    </row>
    <row r="16">
      <c r="A16" s="14" t="s">
        <v>74</v>
      </c>
      <c r="B16" s="27">
        <v>6.65369E8</v>
      </c>
      <c r="C16" s="27">
        <v>4.78718E8</v>
      </c>
      <c r="D16" s="27">
        <v>6.17245E8</v>
      </c>
    </row>
    <row r="17">
      <c r="A17" s="14" t="s">
        <v>75</v>
      </c>
      <c r="B17" s="28">
        <v>6.11038E8</v>
      </c>
      <c r="C17" s="28">
        <v>4.41677E8</v>
      </c>
      <c r="D17" s="28">
        <v>4.72465E8</v>
      </c>
    </row>
    <row r="18">
      <c r="A18" s="30" t="s">
        <v>76</v>
      </c>
      <c r="B18" s="31">
        <f t="shared" ref="B18:D18" si="1">SUM(B14:B17)</f>
        <v>2765667000</v>
      </c>
      <c r="C18" s="31">
        <f t="shared" si="1"/>
        <v>2705042000</v>
      </c>
      <c r="D18" s="31">
        <f t="shared" si="1"/>
        <v>2691602000</v>
      </c>
    </row>
    <row r="19">
      <c r="B19" s="32"/>
      <c r="C19" s="32"/>
      <c r="D19" s="32"/>
    </row>
    <row r="20">
      <c r="A20" s="33" t="s">
        <v>77</v>
      </c>
      <c r="B20" s="34">
        <f>A_TotFA_20+A_TCA_20</f>
        <v>3229873000</v>
      </c>
      <c r="C20" s="34">
        <f>A_TotFA_19+A_TCA_19</f>
        <v>3153517000</v>
      </c>
      <c r="D20" s="34">
        <f>A_TotFA_18+A_TCA_18</f>
        <v>3084502000</v>
      </c>
    </row>
    <row r="21" ht="15.75" customHeight="1">
      <c r="B21" s="32"/>
      <c r="C21" s="32"/>
      <c r="D21" s="32"/>
    </row>
    <row r="22" ht="15.75" customHeight="1">
      <c r="B22" s="32"/>
      <c r="C22" s="32"/>
      <c r="D22" s="32"/>
    </row>
    <row r="23" ht="15.75" customHeight="1">
      <c r="A23" s="14" t="s">
        <v>78</v>
      </c>
      <c r="B23" s="27">
        <v>1.043806E9</v>
      </c>
      <c r="C23" s="27">
        <v>1.039578E9</v>
      </c>
      <c r="D23" s="27">
        <v>9.48971E8</v>
      </c>
    </row>
    <row r="24" ht="15.75" customHeight="1">
      <c r="A24" s="14" t="s">
        <v>79</v>
      </c>
      <c r="B24" s="28">
        <v>1277000.0</v>
      </c>
      <c r="C24" s="28">
        <v>835000.0</v>
      </c>
      <c r="D24" s="28">
        <v>528000.0</v>
      </c>
    </row>
    <row r="25" ht="15.75" customHeight="1">
      <c r="A25" s="33" t="s">
        <v>80</v>
      </c>
      <c r="B25" s="35">
        <v>1.045083E9</v>
      </c>
      <c r="C25" s="35">
        <v>1.040413E9</v>
      </c>
      <c r="D25" s="35">
        <v>9.49499E8</v>
      </c>
    </row>
    <row r="26" ht="15.75" customHeight="1">
      <c r="B26" s="32"/>
      <c r="C26" s="32"/>
      <c r="D26" s="32"/>
    </row>
    <row r="27" ht="15.75" customHeight="1">
      <c r="A27" s="14" t="s">
        <v>81</v>
      </c>
      <c r="B27" s="28">
        <v>1.6308E8</v>
      </c>
      <c r="C27" s="28">
        <v>2.81974E8</v>
      </c>
      <c r="D27" s="28">
        <v>2.80842E8</v>
      </c>
    </row>
    <row r="28" ht="15.75" customHeight="1">
      <c r="A28" s="30" t="s">
        <v>82</v>
      </c>
      <c r="B28" s="31">
        <f>A_LTL_20</f>
        <v>163080000</v>
      </c>
      <c r="C28" s="31">
        <f>A_LTL_19</f>
        <v>281974000</v>
      </c>
      <c r="D28" s="31">
        <f>A_LTL_18</f>
        <v>280842000</v>
      </c>
    </row>
    <row r="29" ht="15.75" customHeight="1">
      <c r="B29" s="32"/>
      <c r="C29" s="32"/>
      <c r="D29" s="32"/>
    </row>
    <row r="30" ht="15.75" customHeight="1">
      <c r="A30" s="14" t="s">
        <v>83</v>
      </c>
      <c r="B30" s="27">
        <v>1.467407E9</v>
      </c>
      <c r="C30" s="27">
        <v>1.407804E9</v>
      </c>
      <c r="D30" s="27">
        <v>1.423567E9</v>
      </c>
    </row>
    <row r="31" ht="15.75" customHeight="1">
      <c r="A31" s="14" t="s">
        <v>84</v>
      </c>
      <c r="B31" s="28">
        <v>5.54303E8</v>
      </c>
      <c r="C31" s="28">
        <v>4.23326E8</v>
      </c>
      <c r="D31" s="28">
        <v>4.30594E8</v>
      </c>
    </row>
    <row r="32" ht="15.75" customHeight="1">
      <c r="A32" s="30" t="s">
        <v>85</v>
      </c>
      <c r="B32" s="31">
        <f>A_AP_20+A_OCL_20</f>
        <v>2021710000</v>
      </c>
      <c r="C32" s="31">
        <f>A_AP_19+A_OCL_19</f>
        <v>1831130000</v>
      </c>
      <c r="D32" s="31">
        <f>A_AP_18+A_OCL_18</f>
        <v>1854161000</v>
      </c>
    </row>
    <row r="33" ht="15.75" customHeight="1">
      <c r="B33" s="32"/>
      <c r="C33" s="32"/>
      <c r="D33" s="32"/>
    </row>
    <row r="34" ht="15.75" customHeight="1">
      <c r="A34" s="33" t="s">
        <v>86</v>
      </c>
      <c r="B34" s="34">
        <f>A_TEQ_20+A_TNCL_20+A_TCL_20</f>
        <v>3229873000</v>
      </c>
      <c r="C34" s="34">
        <f>A_TEQ_19+A_TNCL_19+A_TCL_19</f>
        <v>3153517000</v>
      </c>
      <c r="D34" s="34">
        <f>A_TEQ_18+A_TNCL_18+A_TCL_18</f>
        <v>3084502000</v>
      </c>
    </row>
    <row r="35" ht="15.75" customHeight="1"/>
    <row r="36" ht="15.75" customHeight="1"/>
    <row r="37" ht="15.75" customHeight="1"/>
    <row r="38" ht="15.75" customHeight="1">
      <c r="A38" s="33" t="s">
        <v>87</v>
      </c>
      <c r="F38" s="33" t="s">
        <v>88</v>
      </c>
    </row>
    <row r="39" ht="408.75" customHeight="1">
      <c r="A39" s="36" t="s">
        <v>89</v>
      </c>
      <c r="F39" s="37" t="s">
        <v>90</v>
      </c>
    </row>
    <row r="40" ht="15.75" customHeight="1">
      <c r="A40" s="33"/>
    </row>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1:D1"/>
    <mergeCell ref="B3:D3"/>
    <mergeCell ref="B5:D5"/>
    <mergeCell ref="A39:D39"/>
  </mergeCell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6.86"/>
    <col customWidth="1" min="2" max="2" width="20.14"/>
    <col customWidth="1" min="3" max="3" width="20.29"/>
    <col customWidth="1" min="4" max="4" width="37.43"/>
    <col customWidth="1" min="5" max="5" width="20.86"/>
    <col customWidth="1" min="6" max="6" width="137.71"/>
    <col customWidth="1" min="7" max="26" width="8.86"/>
  </cols>
  <sheetData>
    <row r="1">
      <c r="A1" s="18" t="s">
        <v>91</v>
      </c>
      <c r="B1" s="19" t="s">
        <v>92</v>
      </c>
      <c r="C1" s="20"/>
      <c r="D1" s="21"/>
    </row>
    <row r="2">
      <c r="A2" s="18"/>
      <c r="B2" s="22"/>
      <c r="C2" s="22"/>
      <c r="D2" s="22"/>
    </row>
    <row r="3">
      <c r="A3" s="18" t="s">
        <v>65</v>
      </c>
      <c r="B3" s="19">
        <v>30.0</v>
      </c>
      <c r="C3" s="20"/>
      <c r="D3" s="21"/>
    </row>
    <row r="4">
      <c r="A4" s="23" t="s">
        <v>66</v>
      </c>
    </row>
    <row r="5">
      <c r="B5" s="24" t="s">
        <v>67</v>
      </c>
    </row>
    <row r="6">
      <c r="B6" s="33"/>
      <c r="C6" s="33"/>
      <c r="D6" s="33"/>
    </row>
    <row r="7">
      <c r="B7" s="25">
        <v>2023.0</v>
      </c>
      <c r="C7" s="25">
        <v>2022.0</v>
      </c>
      <c r="D7" s="25">
        <v>2021.0</v>
      </c>
    </row>
    <row r="8">
      <c r="B8" s="33"/>
      <c r="C8" s="33"/>
      <c r="D8" s="33"/>
    </row>
    <row r="9">
      <c r="A9" s="14" t="s">
        <v>68</v>
      </c>
      <c r="B9" s="38">
        <f>(760159+892274+282848)*1000</f>
        <v>1935281000</v>
      </c>
      <c r="C9" s="38">
        <f>(758713+971484+305016)*1000</f>
        <v>2035213000</v>
      </c>
      <c r="D9" s="38">
        <f>(804863+998614+319922)*1000</f>
        <v>2123399000</v>
      </c>
    </row>
    <row r="10">
      <c r="A10" s="14" t="s">
        <v>69</v>
      </c>
      <c r="B10" s="38">
        <f>(13676472+71290)*1000</f>
        <v>13747762000</v>
      </c>
      <c r="C10" s="38">
        <f>(13392162+66613)*1000</f>
        <v>13458775000</v>
      </c>
      <c r="D10" s="38">
        <f>(11957685+68046)*1000</f>
        <v>12025731000</v>
      </c>
    </row>
    <row r="11">
      <c r="A11" s="14" t="s">
        <v>70</v>
      </c>
      <c r="B11" s="39">
        <f>(10172+104642+2858+291543+609262+563087+509)*1000</f>
        <v>1582073000</v>
      </c>
      <c r="C11" s="39">
        <f>(10172+95436+3961+383800+629999+330889+508)*1000</f>
        <v>1454765000</v>
      </c>
      <c r="D11" s="39">
        <f>(12915+92658+2626+0+542552+105446+509)*1000</f>
        <v>756706000</v>
      </c>
    </row>
    <row r="12">
      <c r="A12" s="30" t="s">
        <v>71</v>
      </c>
      <c r="B12" s="31">
        <f>B_IFA_20+B_TFA_20+B_OFA_20</f>
        <v>17265116000</v>
      </c>
      <c r="C12" s="31">
        <f>B_IFA_19+B_TFA_19+B_OFA_19</f>
        <v>16948753000</v>
      </c>
      <c r="D12" s="31">
        <f>B_IFA_18+B_TFA_18+B_OFA_18</f>
        <v>14905836000</v>
      </c>
    </row>
    <row r="13">
      <c r="A13" s="30"/>
      <c r="B13" s="32"/>
      <c r="C13" s="32"/>
      <c r="D13" s="32"/>
    </row>
    <row r="14">
      <c r="A14" s="14" t="s">
        <v>72</v>
      </c>
      <c r="B14" s="32">
        <f>(2469246)*1000</f>
        <v>2469246000</v>
      </c>
      <c r="C14" s="32">
        <f>(3444385)*1000</f>
        <v>3444385000</v>
      </c>
      <c r="D14" s="32">
        <f>2313143*1000</f>
        <v>2313143000</v>
      </c>
    </row>
    <row r="15">
      <c r="A15" s="14" t="s">
        <v>73</v>
      </c>
      <c r="B15" s="32">
        <f>(1432699)*1000</f>
        <v>1432699000</v>
      </c>
      <c r="C15" s="32">
        <f>(2026024)*1000</f>
        <v>2026024000</v>
      </c>
      <c r="D15" s="32">
        <f>2453579*1000</f>
        <v>2453579000</v>
      </c>
      <c r="E15" s="40"/>
    </row>
    <row r="16">
      <c r="A16" s="14" t="s">
        <v>74</v>
      </c>
      <c r="B16" s="32">
        <f>(1012355)*1000</f>
        <v>1012355000</v>
      </c>
      <c r="C16" s="32">
        <f>(1376541)*1000</f>
        <v>1376541000</v>
      </c>
      <c r="D16" s="32">
        <f>2362193*1000</f>
        <v>2362193000</v>
      </c>
      <c r="E16" s="40"/>
    </row>
    <row r="17">
      <c r="A17" s="14" t="s">
        <v>75</v>
      </c>
      <c r="B17" s="41">
        <f>(2047478+0+2005+47467+20154)*1000</f>
        <v>2117104000</v>
      </c>
      <c r="C17" s="41">
        <f>(2009349+3122+1998+33719+21753)*1000</f>
        <v>2069941000</v>
      </c>
      <c r="D17" s="41">
        <f>(1560172+1801+1997+28015+17969)*1000</f>
        <v>1609954000</v>
      </c>
      <c r="E17" s="40"/>
    </row>
    <row r="18">
      <c r="A18" s="30" t="s">
        <v>76</v>
      </c>
      <c r="B18" s="31">
        <f>B_INV_20+B_AR_20+B_Cash_20+B_OCA_20</f>
        <v>7031404000</v>
      </c>
      <c r="C18" s="31">
        <f>B_INV_19+B_AR_19+B_Cash_19+B_OCA_19</f>
        <v>8916891000</v>
      </c>
      <c r="D18" s="31">
        <f>B_INV_18+B_AR_18+B_Cash_18+B_OCA_18</f>
        <v>8738869000</v>
      </c>
    </row>
    <row r="19">
      <c r="A19" s="30"/>
      <c r="B19" s="32"/>
      <c r="C19" s="32"/>
      <c r="D19" s="32"/>
    </row>
    <row r="20">
      <c r="A20" s="33" t="s">
        <v>77</v>
      </c>
      <c r="B20" s="34">
        <f>B_TotFA_20+B_TCA_20</f>
        <v>24296520000</v>
      </c>
      <c r="C20" s="34">
        <f>B_TotFA_19+B_TCA_19</f>
        <v>25865644000</v>
      </c>
      <c r="D20" s="34">
        <f>B_TotFA_18+B_TCA_18</f>
        <v>23644705000</v>
      </c>
    </row>
    <row r="21" ht="15.75" customHeight="1">
      <c r="A21" s="33"/>
      <c r="B21" s="32"/>
      <c r="C21" s="32"/>
      <c r="D21" s="32"/>
    </row>
    <row r="22" ht="15.75" customHeight="1">
      <c r="B22" s="32"/>
      <c r="C22" s="32"/>
      <c r="D22" s="32"/>
    </row>
    <row r="23" ht="15.75" customHeight="1">
      <c r="A23" s="14" t="s">
        <v>78</v>
      </c>
      <c r="B23" s="32">
        <f t="shared" ref="B23:D23" si="1">495977*1000</f>
        <v>495977000</v>
      </c>
      <c r="C23" s="32">
        <f t="shared" si="1"/>
        <v>495977000</v>
      </c>
      <c r="D23" s="32">
        <f t="shared" si="1"/>
        <v>495977000</v>
      </c>
    </row>
    <row r="24" ht="15.75" customHeight="1">
      <c r="A24" s="14" t="s">
        <v>79</v>
      </c>
      <c r="B24" s="41">
        <f>(2418270+243830-9483-17700+2820560+516835)*1000</f>
        <v>5972312000</v>
      </c>
      <c r="C24" s="41">
        <f>(2418270+285136+87421-17700+5665545+1021718)*1000</f>
        <v>9460390000</v>
      </c>
      <c r="D24" s="41">
        <f>(2418270-58403+54936-17700+5048783+990304)*1000</f>
        <v>8436190000</v>
      </c>
    </row>
    <row r="25" ht="15.75" customHeight="1">
      <c r="A25" s="33" t="s">
        <v>80</v>
      </c>
      <c r="B25" s="31">
        <f>B_ISC_20+B_OSF_20</f>
        <v>6468289000</v>
      </c>
      <c r="C25" s="31">
        <f>B_ISC_19+B_OSF_19</f>
        <v>9956367000</v>
      </c>
      <c r="D25" s="31">
        <f>B_ISC_18+B_OSF_18</f>
        <v>8932167000</v>
      </c>
    </row>
    <row r="26" ht="15.75" customHeight="1">
      <c r="A26" s="30"/>
      <c r="B26" s="32"/>
      <c r="C26" s="32"/>
      <c r="D26" s="32"/>
    </row>
    <row r="27" ht="15.75" customHeight="1">
      <c r="A27" s="14" t="s">
        <v>93</v>
      </c>
      <c r="B27" s="28">
        <v>2.997479E9</v>
      </c>
      <c r="C27" s="28">
        <v>7.294419E9</v>
      </c>
      <c r="D27" s="28">
        <v>5.95116E9</v>
      </c>
    </row>
    <row r="28" ht="15.75" customHeight="1">
      <c r="A28" s="30" t="s">
        <v>82</v>
      </c>
      <c r="B28" s="31">
        <f>B_LTL_20</f>
        <v>2997479000</v>
      </c>
      <c r="C28" s="31">
        <f>B_LTL_19</f>
        <v>7294419000</v>
      </c>
      <c r="D28" s="31">
        <f>B_LTL_18</f>
        <v>5951160000</v>
      </c>
    </row>
    <row r="29" ht="15.75" customHeight="1">
      <c r="A29" s="30"/>
      <c r="B29" s="32"/>
      <c r="C29" s="32"/>
      <c r="D29" s="32"/>
    </row>
    <row r="30" ht="15.75" customHeight="1">
      <c r="A30" s="14" t="s">
        <v>83</v>
      </c>
      <c r="B30" s="27">
        <v>5.388239E9</v>
      </c>
      <c r="C30" s="27">
        <v>6.141011E9</v>
      </c>
      <c r="D30" s="27">
        <v>5.827116E9</v>
      </c>
    </row>
    <row r="31" ht="15.75" customHeight="1">
      <c r="A31" s="14" t="s">
        <v>84</v>
      </c>
      <c r="B31" s="41">
        <f>14830752000-B_AP_20</f>
        <v>9442513000</v>
      </c>
      <c r="C31" s="41">
        <f>8614858000-B_AP_19</f>
        <v>2473847000</v>
      </c>
      <c r="D31" s="41">
        <f>8761378000-5827116000</f>
        <v>2934262000</v>
      </c>
    </row>
    <row r="32" ht="15.75" customHeight="1">
      <c r="A32" s="30" t="s">
        <v>85</v>
      </c>
      <c r="B32" s="31">
        <f>B_AP_20+B_OCL_20</f>
        <v>14830752000</v>
      </c>
      <c r="C32" s="31">
        <f>B_AP_19+B_OCL_19</f>
        <v>8614858000</v>
      </c>
      <c r="D32" s="31">
        <f>B_AP_18+B_OCL_18</f>
        <v>8761378000</v>
      </c>
    </row>
    <row r="33" ht="15.75" customHeight="1">
      <c r="A33" s="30"/>
      <c r="B33" s="32"/>
      <c r="C33" s="32"/>
      <c r="D33" s="32"/>
    </row>
    <row r="34" ht="15.75" customHeight="1">
      <c r="A34" s="14" t="s">
        <v>86</v>
      </c>
      <c r="B34" s="34">
        <f>B_TEQ_20+B_TNCL_20+B_TCL_20</f>
        <v>24296520000</v>
      </c>
      <c r="C34" s="34">
        <f>B_TEQ_19+B_TNCL_19+B_TCL_19</f>
        <v>25865644000</v>
      </c>
      <c r="D34" s="34">
        <f>B_TEQ_18+B_TNCL_18+B_TCL_18</f>
        <v>23644705000</v>
      </c>
    </row>
    <row r="35" ht="15.75" customHeight="1"/>
    <row r="36" ht="15.75" customHeight="1"/>
    <row r="37" ht="15.75" customHeight="1"/>
    <row r="38" ht="15.75" customHeight="1">
      <c r="A38" s="33" t="s">
        <v>87</v>
      </c>
      <c r="F38" s="33" t="s">
        <v>88</v>
      </c>
    </row>
    <row r="39" ht="409.5" customHeight="1">
      <c r="A39" s="36" t="s">
        <v>89</v>
      </c>
      <c r="F39" s="42" t="s">
        <v>94</v>
      </c>
    </row>
    <row r="40" ht="15.75" customHeight="1">
      <c r="A40" s="33"/>
    </row>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1:D1"/>
    <mergeCell ref="B3:D3"/>
    <mergeCell ref="B5:D5"/>
    <mergeCell ref="A39:D39"/>
  </mergeCells>
  <printOptions/>
  <pageMargins bottom="0.75" footer="0.0" header="0.0" left="0.7" right="0.7" top="0.75"/>
  <pageSetup paperSize="9" scale="88"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51.86"/>
    <col customWidth="1" min="2" max="2" width="16.86"/>
    <col customWidth="1" min="3" max="3" width="24.86"/>
    <col customWidth="1" min="4" max="4" width="35.14"/>
    <col customWidth="1" min="5" max="5" width="8.86"/>
    <col customWidth="1" min="6" max="6" width="78.71"/>
    <col customWidth="1" min="7" max="26" width="8.86"/>
  </cols>
  <sheetData>
    <row r="1">
      <c r="A1" s="18" t="s">
        <v>91</v>
      </c>
      <c r="B1" s="43" t="str">
        <f>A_Company</f>
        <v>ALSO Holding AG</v>
      </c>
      <c r="C1" s="20"/>
      <c r="D1" s="21"/>
    </row>
    <row r="2">
      <c r="A2" s="18"/>
      <c r="B2" s="22"/>
      <c r="C2" s="22"/>
      <c r="D2" s="22"/>
    </row>
    <row r="3">
      <c r="A3" s="18" t="s">
        <v>65</v>
      </c>
      <c r="B3" s="43">
        <f>AssignNo</f>
        <v>30</v>
      </c>
      <c r="C3" s="20"/>
      <c r="D3" s="21"/>
    </row>
    <row r="4">
      <c r="A4" s="23" t="s">
        <v>66</v>
      </c>
    </row>
    <row r="5">
      <c r="B5" s="44" t="s">
        <v>95</v>
      </c>
    </row>
    <row r="7">
      <c r="A7" s="33"/>
      <c r="B7" s="25">
        <v>2023.0</v>
      </c>
      <c r="C7" s="25">
        <v>2022.0</v>
      </c>
      <c r="D7" s="25">
        <v>2021.0</v>
      </c>
    </row>
    <row r="9">
      <c r="A9" s="14" t="s">
        <v>96</v>
      </c>
      <c r="B9" s="27">
        <v>9.959628E9</v>
      </c>
      <c r="C9" s="27">
        <v>1.1552876E10</v>
      </c>
      <c r="D9" s="27">
        <v>1.2394388E10</v>
      </c>
    </row>
    <row r="10">
      <c r="A10" s="14" t="s">
        <v>97</v>
      </c>
      <c r="B10" s="28">
        <v>9.264618E9</v>
      </c>
      <c r="C10" s="28">
        <v>1.0839468E10</v>
      </c>
      <c r="D10" s="28">
        <v>1.1710962E10</v>
      </c>
    </row>
    <row r="11">
      <c r="A11" s="30" t="s">
        <v>98</v>
      </c>
      <c r="B11" s="31">
        <f t="array" ref="B11">A_Sales_20-A_COGS_20</f>
        <v>695010000</v>
      </c>
      <c r="C11" s="31">
        <f t="array" ref="C11">A_Sales_19-A_COGS_19</f>
        <v>713408000</v>
      </c>
      <c r="D11" s="31">
        <f>A_Sales_18-A_COGS_18</f>
        <v>683426000</v>
      </c>
    </row>
    <row r="12">
      <c r="B12" s="32"/>
      <c r="C12" s="32"/>
      <c r="D12" s="32"/>
    </row>
    <row r="13">
      <c r="A13" s="14" t="s">
        <v>99</v>
      </c>
      <c r="B13" s="28">
        <v>-4.92306E8</v>
      </c>
      <c r="C13" s="28">
        <v>-4.76577E8</v>
      </c>
      <c r="D13" s="28">
        <v>-4.65866E8</v>
      </c>
    </row>
    <row r="14">
      <c r="A14" s="30" t="s">
        <v>100</v>
      </c>
      <c r="B14" s="31">
        <f>A_GP_20+A_Opex_20</f>
        <v>202704000</v>
      </c>
      <c r="C14" s="31">
        <f>A_GP_19+A_Opex_19</f>
        <v>236831000</v>
      </c>
      <c r="D14" s="31">
        <f>A_GP_18+A_Opex_18</f>
        <v>217560000</v>
      </c>
    </row>
    <row r="15">
      <c r="B15" s="32"/>
      <c r="C15" s="32"/>
      <c r="D15" s="32"/>
    </row>
    <row r="16">
      <c r="A16" s="14" t="s">
        <v>101</v>
      </c>
      <c r="B16" s="27">
        <v>-4.0789E7</v>
      </c>
      <c r="C16" s="27">
        <v>-3.2922E7</v>
      </c>
      <c r="D16" s="27">
        <v>-2.1811E7</v>
      </c>
      <c r="I16" s="33"/>
    </row>
    <row r="17">
      <c r="A17" s="14" t="s">
        <v>102</v>
      </c>
      <c r="B17" s="28">
        <v>1.2608E7</v>
      </c>
      <c r="C17" s="28">
        <v>4032000.0</v>
      </c>
      <c r="D17" s="28">
        <v>5341000.0</v>
      </c>
      <c r="I17" s="33"/>
    </row>
    <row r="18">
      <c r="A18" s="30" t="s">
        <v>103</v>
      </c>
      <c r="B18" s="31">
        <f>A_FINEX_20+A_FININC_20</f>
        <v>-28181000</v>
      </c>
      <c r="C18" s="31">
        <f>A_FINEX_19+A_FININC_19</f>
        <v>-28890000</v>
      </c>
      <c r="D18" s="31">
        <f>A_FINEX_18+A_FININC_18</f>
        <v>-16470000</v>
      </c>
    </row>
    <row r="19">
      <c r="A19" s="33"/>
      <c r="B19" s="45"/>
      <c r="C19" s="45"/>
      <c r="D19" s="45"/>
    </row>
    <row r="20">
      <c r="A20" s="30" t="s">
        <v>104</v>
      </c>
      <c r="B20" s="31">
        <f>A_EBIT_20+A_NETFINEX_20</f>
        <v>174523000</v>
      </c>
      <c r="C20" s="31">
        <f>A_EBIT_19+A_NETFINEX_19</f>
        <v>207941000</v>
      </c>
      <c r="D20" s="31">
        <f>A_EBIT_18+A_NETFINEX_18</f>
        <v>201090000</v>
      </c>
    </row>
    <row r="21" ht="15.75" customHeight="1">
      <c r="B21" s="32"/>
      <c r="C21" s="32"/>
      <c r="D21" s="32"/>
    </row>
    <row r="22" ht="15.75" customHeight="1">
      <c r="A22" s="14" t="s">
        <v>105</v>
      </c>
      <c r="B22" s="27">
        <v>-5.0418E7</v>
      </c>
      <c r="C22" s="27">
        <v>-5.5574E7</v>
      </c>
      <c r="D22" s="27">
        <v>-4.6893E7</v>
      </c>
    </row>
    <row r="23" ht="15.75" customHeight="1">
      <c r="B23" s="41"/>
      <c r="C23" s="41"/>
      <c r="D23" s="41"/>
    </row>
    <row r="24" ht="15.75" customHeight="1">
      <c r="A24" s="30" t="s">
        <v>106</v>
      </c>
      <c r="B24" s="34">
        <f>A_PBT_20+A_TaxExp_20</f>
        <v>124105000</v>
      </c>
      <c r="C24" s="34">
        <f>A_PBT_19+A_TaxExp_19</f>
        <v>152367000</v>
      </c>
      <c r="D24" s="34">
        <f>A_PBT_18+A_TaxExp_18</f>
        <v>154197000</v>
      </c>
    </row>
    <row r="25" ht="15.75" customHeight="1"/>
    <row r="26" ht="15.75" customHeight="1"/>
    <row r="27" ht="15.75" customHeight="1">
      <c r="A27" s="33" t="s">
        <v>87</v>
      </c>
      <c r="F27" s="33" t="s">
        <v>88</v>
      </c>
    </row>
    <row r="28" ht="174.75" customHeight="1">
      <c r="A28" s="36" t="s">
        <v>107</v>
      </c>
      <c r="F28" s="46" t="s">
        <v>108</v>
      </c>
    </row>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1:D1"/>
    <mergeCell ref="B3:D3"/>
    <mergeCell ref="B5:D5"/>
    <mergeCell ref="A28:D28"/>
  </mergeCells>
  <printOptions/>
  <pageMargins bottom="0.75" footer="0.0" header="0.0" left="0.7" right="0.7" top="0.75"/>
  <pageSetup paperSize="9" scale="86"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64.57"/>
    <col customWidth="1" min="2" max="2" width="27.86"/>
    <col customWidth="1" min="3" max="3" width="22.14"/>
    <col customWidth="1" min="4" max="4" width="20.43"/>
    <col customWidth="1" min="5" max="5" width="8.86"/>
    <col customWidth="1" min="6" max="6" width="80.14"/>
    <col customWidth="1" min="7" max="26" width="8.86"/>
  </cols>
  <sheetData>
    <row r="1">
      <c r="A1" s="18"/>
      <c r="B1" s="43" t="str">
        <f>B_Company</f>
        <v>GRUPA AZOTY S.A</v>
      </c>
      <c r="C1" s="20"/>
      <c r="D1" s="21"/>
    </row>
    <row r="2">
      <c r="A2" s="18"/>
      <c r="B2" s="22"/>
      <c r="C2" s="22"/>
      <c r="D2" s="22"/>
    </row>
    <row r="3">
      <c r="A3" s="18" t="s">
        <v>65</v>
      </c>
      <c r="B3" s="43">
        <f>AssignNo</f>
        <v>30</v>
      </c>
      <c r="C3" s="20"/>
      <c r="D3" s="21"/>
    </row>
    <row r="4">
      <c r="A4" s="23" t="s">
        <v>66</v>
      </c>
    </row>
    <row r="5">
      <c r="B5" s="44" t="s">
        <v>95</v>
      </c>
    </row>
    <row r="7">
      <c r="A7" s="33"/>
      <c r="B7" s="25">
        <v>2023.0</v>
      </c>
      <c r="C7" s="25">
        <v>2022.0</v>
      </c>
      <c r="D7" s="25">
        <v>2021.0</v>
      </c>
    </row>
    <row r="9">
      <c r="A9" s="14" t="s">
        <v>96</v>
      </c>
      <c r="B9" s="47">
        <v>1.3545094E10</v>
      </c>
      <c r="C9" s="47">
        <v>2.4657853E10</v>
      </c>
      <c r="D9" s="47">
        <v>1.5901259E10</v>
      </c>
    </row>
    <row r="10">
      <c r="A10" s="14" t="s">
        <v>109</v>
      </c>
      <c r="B10" s="47">
        <v>1.3833787E10</v>
      </c>
      <c r="C10" s="47">
        <v>2.0722832E10</v>
      </c>
      <c r="D10" s="47">
        <v>1.282282E10</v>
      </c>
    </row>
    <row r="11">
      <c r="A11" s="30" t="s">
        <v>98</v>
      </c>
      <c r="B11" s="31">
        <f>B_Sales_20-B_COGS_20</f>
        <v>-288693000</v>
      </c>
      <c r="C11" s="31">
        <f>B_Sales_19-B_COGS_19</f>
        <v>3935021000</v>
      </c>
      <c r="D11" s="31">
        <f t="array" ref="D11">B_Sales_18-B_COGS_18</f>
        <v>3078439000</v>
      </c>
    </row>
    <row r="12">
      <c r="B12" s="32"/>
      <c r="C12" s="32"/>
      <c r="D12" s="27"/>
    </row>
    <row r="13">
      <c r="A13" s="14" t="s">
        <v>110</v>
      </c>
      <c r="B13" s="47">
        <v>-3.311529E9</v>
      </c>
      <c r="C13" s="48">
        <v>-3.069372E9</v>
      </c>
      <c r="D13" s="27">
        <v>-2.201934E9</v>
      </c>
    </row>
    <row r="14">
      <c r="A14" s="30" t="s">
        <v>100</v>
      </c>
      <c r="B14" s="31">
        <f>B_GP_20+B_Opex_20</f>
        <v>-3600222000</v>
      </c>
      <c r="C14" s="31">
        <f>B_GP_19+B_Opex_19</f>
        <v>865649000</v>
      </c>
      <c r="D14" s="31">
        <f>B_GP_18+B_Opex_18</f>
        <v>876505000</v>
      </c>
    </row>
    <row r="15">
      <c r="B15" s="32"/>
      <c r="C15" s="32"/>
      <c r="D15" s="32"/>
    </row>
    <row r="16">
      <c r="A16" s="14" t="s">
        <v>111</v>
      </c>
      <c r="B16" s="47">
        <v>-3.74055E8</v>
      </c>
      <c r="C16" s="47">
        <v>-3.3114E8</v>
      </c>
      <c r="D16" s="47">
        <v>-2.20674E8</v>
      </c>
    </row>
    <row r="17">
      <c r="A17" s="14" t="s">
        <v>112</v>
      </c>
      <c r="B17" s="47">
        <v>3.91013E8</v>
      </c>
      <c r="C17" s="47">
        <v>1.54177E8</v>
      </c>
      <c r="D17" s="47">
        <v>7.8054E7</v>
      </c>
    </row>
    <row r="18">
      <c r="A18" s="30" t="s">
        <v>103</v>
      </c>
      <c r="B18" s="31">
        <f>B_FININC_20+B_FINEX_20</f>
        <v>16958000</v>
      </c>
      <c r="C18" s="31">
        <f>B_FININC_19+B_FINEX_19</f>
        <v>-176963000</v>
      </c>
      <c r="D18" s="31">
        <f>B_FININC_18+B_FINEX_18</f>
        <v>-142620000</v>
      </c>
    </row>
    <row r="19">
      <c r="A19" s="33"/>
      <c r="B19" s="45"/>
      <c r="C19" s="45"/>
      <c r="D19" s="45"/>
    </row>
    <row r="20">
      <c r="A20" s="30" t="s">
        <v>104</v>
      </c>
      <c r="B20" s="31">
        <f>B_EBIT_20+B_NETFINEX_20</f>
        <v>-3583264000</v>
      </c>
      <c r="C20" s="31">
        <f>B_EBIT_19+B_NETFINEX_19</f>
        <v>688686000</v>
      </c>
      <c r="D20" s="31">
        <f>B_EBIT_18+B_NETFINEX_18</f>
        <v>733885000</v>
      </c>
    </row>
    <row r="21" ht="15.75" customHeight="1">
      <c r="B21" s="32"/>
      <c r="C21" s="32"/>
      <c r="D21" s="32"/>
    </row>
    <row r="22" ht="15.75" customHeight="1">
      <c r="A22" s="14" t="s">
        <v>113</v>
      </c>
      <c r="B22" s="47">
        <v>2.928E8</v>
      </c>
      <c r="C22" s="47">
        <v>-1.04866E8</v>
      </c>
      <c r="D22" s="47">
        <v>-1.00198E8</v>
      </c>
    </row>
    <row r="23" ht="15.75" customHeight="1">
      <c r="B23" s="41"/>
      <c r="C23" s="41"/>
      <c r="D23" s="41"/>
    </row>
    <row r="24" ht="15.75" customHeight="1">
      <c r="A24" s="30" t="s">
        <v>106</v>
      </c>
      <c r="B24" s="34">
        <f>B_PBT_20+B_TaxExp_20</f>
        <v>-3290464000</v>
      </c>
      <c r="C24" s="34">
        <f>B_PBT_19+B_TaxExp_19</f>
        <v>583820000</v>
      </c>
      <c r="D24" s="34">
        <f>B_PBT_18+B_TaxExp_18</f>
        <v>633687000</v>
      </c>
    </row>
    <row r="25" ht="15.75" customHeight="1"/>
    <row r="26" ht="15.75" customHeight="1"/>
    <row r="27" ht="15.75" customHeight="1">
      <c r="A27" s="33" t="s">
        <v>87</v>
      </c>
      <c r="F27" s="33" t="s">
        <v>88</v>
      </c>
    </row>
    <row r="28" ht="167.25" customHeight="1">
      <c r="A28" s="36" t="s">
        <v>107</v>
      </c>
      <c r="F28" s="49" t="s">
        <v>114</v>
      </c>
    </row>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1:D1"/>
    <mergeCell ref="B3:D3"/>
    <mergeCell ref="B5:D5"/>
    <mergeCell ref="A28:D28"/>
  </mergeCells>
  <printOptions/>
  <pageMargins bottom="0.75" footer="0.0" header="0.0" left="0.7" right="0.7" top="0.75"/>
  <pageSetup paperSize="9" scale="82"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55.86"/>
    <col customWidth="1" min="2" max="3" width="16.86"/>
    <col customWidth="1" min="4" max="4" width="24.14"/>
    <col customWidth="1" min="5" max="5" width="8.86"/>
    <col customWidth="1" min="6" max="6" width="71.43"/>
    <col customWidth="1" min="7" max="26" width="8.86"/>
  </cols>
  <sheetData>
    <row r="1">
      <c r="A1" s="18" t="str">
        <f>'Balance sheet Company 1'!A1</f>
        <v>Company:</v>
      </c>
      <c r="B1" s="43" t="str">
        <f>'Balance sheet Company 1'!B1</f>
        <v>ALSO Holding AG</v>
      </c>
      <c r="C1" s="20"/>
      <c r="D1" s="21"/>
    </row>
    <row r="2">
      <c r="A2" s="18"/>
      <c r="B2" s="22"/>
      <c r="C2" s="22"/>
      <c r="D2" s="22"/>
    </row>
    <row r="3">
      <c r="A3" s="18" t="str">
        <f>'Balance sheet Company 1'!A3</f>
        <v>Group Number</v>
      </c>
      <c r="B3" s="43">
        <f>'Balance sheet Company 1'!B3</f>
        <v>30</v>
      </c>
      <c r="C3" s="20"/>
      <c r="D3" s="21"/>
    </row>
    <row r="5">
      <c r="B5" s="44" t="s">
        <v>115</v>
      </c>
    </row>
    <row r="6">
      <c r="A6" s="33"/>
    </row>
    <row r="7">
      <c r="B7" s="25">
        <v>2023.0</v>
      </c>
      <c r="C7" s="25">
        <v>2022.0</v>
      </c>
      <c r="D7" s="25">
        <v>2021.0</v>
      </c>
    </row>
    <row r="8">
      <c r="B8" s="33"/>
      <c r="C8" s="33"/>
      <c r="D8" s="33"/>
    </row>
    <row r="9">
      <c r="A9" s="14" t="s">
        <v>116</v>
      </c>
      <c r="B9" s="50">
        <v>0.085</v>
      </c>
      <c r="C9" s="50">
        <v>0.085</v>
      </c>
      <c r="D9" s="50">
        <v>0.085</v>
      </c>
    </row>
    <row r="13">
      <c r="A13" s="33" t="s">
        <v>117</v>
      </c>
      <c r="F13" s="33" t="s">
        <v>88</v>
      </c>
    </row>
    <row r="14" ht="80.25" customHeight="1">
      <c r="A14" s="51" t="s">
        <v>118</v>
      </c>
      <c r="F14" s="46" t="s">
        <v>119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1:D1"/>
    <mergeCell ref="B3:D3"/>
    <mergeCell ref="B5:D5"/>
    <mergeCell ref="A14:D14"/>
  </mergeCells>
  <printOptions/>
  <pageMargins bottom="0.75" footer="0.0" header="0.0" left="0.7" right="0.7" top="0.75"/>
  <pageSetup paperSize="9"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8.29"/>
    <col customWidth="1" min="2" max="4" width="16.86"/>
    <col customWidth="1" min="5" max="5" width="8.86"/>
    <col customWidth="1" min="6" max="6" width="70.86"/>
    <col customWidth="1" min="7" max="26" width="8.86"/>
  </cols>
  <sheetData>
    <row r="1">
      <c r="A1" s="52" t="s">
        <v>4</v>
      </c>
      <c r="B1" s="43" t="str">
        <f>'Balance sheet Company 2'!B1</f>
        <v>GRUPA AZOTY S.A</v>
      </c>
      <c r="C1" s="20"/>
      <c r="D1" s="21"/>
    </row>
    <row r="2">
      <c r="A2" s="18"/>
      <c r="B2" s="22"/>
      <c r="C2" s="22"/>
      <c r="D2" s="22"/>
    </row>
    <row r="3">
      <c r="A3" s="18" t="str">
        <f>'Balance sheet Company 2'!A3</f>
        <v>Group Number</v>
      </c>
      <c r="B3" s="43">
        <f>AssignNo</f>
        <v>30</v>
      </c>
      <c r="C3" s="20"/>
      <c r="D3" s="21"/>
    </row>
    <row r="5">
      <c r="B5" s="44" t="s">
        <v>115</v>
      </c>
    </row>
    <row r="6">
      <c r="A6" s="33"/>
    </row>
    <row r="7">
      <c r="B7" s="25">
        <f>+'Additional data Company 1'!B7</f>
        <v>2023</v>
      </c>
      <c r="C7" s="25">
        <f>+'Additional data Company 1'!C7</f>
        <v>2022</v>
      </c>
      <c r="D7" s="25">
        <f>+'Additional data Company 1'!D7</f>
        <v>2021</v>
      </c>
    </row>
    <row r="8">
      <c r="B8" s="33"/>
      <c r="C8" s="33"/>
      <c r="D8" s="33"/>
    </row>
    <row r="9">
      <c r="A9" s="14" t="s">
        <v>116</v>
      </c>
      <c r="B9" s="53">
        <v>0.19</v>
      </c>
      <c r="C9" s="53">
        <v>0.19</v>
      </c>
      <c r="D9" s="53">
        <v>0.19</v>
      </c>
    </row>
    <row r="10">
      <c r="B10" s="53"/>
      <c r="C10" s="53"/>
      <c r="D10" s="53"/>
    </row>
    <row r="12">
      <c r="B12" s="32"/>
      <c r="C12" s="32"/>
      <c r="D12" s="32"/>
      <c r="E12" s="32"/>
    </row>
    <row r="13">
      <c r="A13" s="33" t="s">
        <v>117</v>
      </c>
      <c r="B13" s="32"/>
      <c r="C13" s="32"/>
      <c r="D13" s="32"/>
      <c r="E13" s="32"/>
      <c r="F13" s="33" t="s">
        <v>88</v>
      </c>
    </row>
    <row r="14" ht="85.5" customHeight="1">
      <c r="A14" s="51" t="s">
        <v>118</v>
      </c>
      <c r="F14" s="46" t="s">
        <v>120</v>
      </c>
    </row>
    <row r="15">
      <c r="B15" s="32"/>
      <c r="C15" s="32"/>
      <c r="D15" s="3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1:D1"/>
    <mergeCell ref="B3:D3"/>
    <mergeCell ref="B5:D5"/>
    <mergeCell ref="A14:D14"/>
  </mergeCells>
  <printOptions/>
  <pageMargins bottom="0.75" footer="0.0" header="0.0" left="0.7" right="0.7" top="0.75"/>
  <pageSetup paperSize="9" scale="71"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52.86"/>
    <col customWidth="1" min="2" max="2" width="16.86"/>
    <col customWidth="1" min="3" max="3" width="27.29"/>
    <col customWidth="1" min="4" max="8" width="16.86"/>
    <col customWidth="1" min="9" max="26" width="8.86"/>
  </cols>
  <sheetData>
    <row r="1">
      <c r="A1" s="18" t="s">
        <v>91</v>
      </c>
      <c r="B1" s="43" t="str">
        <f>'Balance sheet Company 1'!B1</f>
        <v>ALSO Holding AG</v>
      </c>
      <c r="C1" s="20"/>
      <c r="D1" s="20"/>
      <c r="E1" s="20"/>
      <c r="F1" s="20"/>
      <c r="G1" s="20"/>
      <c r="H1" s="21"/>
    </row>
    <row r="2">
      <c r="A2" s="18"/>
      <c r="B2" s="22"/>
      <c r="C2" s="22"/>
      <c r="D2" s="22"/>
      <c r="E2" s="22"/>
      <c r="F2" s="22"/>
      <c r="G2" s="22"/>
      <c r="H2" s="22"/>
    </row>
    <row r="3">
      <c r="A3" s="18" t="s">
        <v>65</v>
      </c>
      <c r="B3" s="43">
        <f>AssignNo</f>
        <v>30</v>
      </c>
      <c r="C3" s="20"/>
      <c r="D3" s="20"/>
      <c r="E3" s="20"/>
      <c r="F3" s="20"/>
      <c r="G3" s="20"/>
      <c r="H3" s="21"/>
    </row>
    <row r="4">
      <c r="A4" s="33"/>
    </row>
    <row r="5">
      <c r="B5" s="44" t="s">
        <v>67</v>
      </c>
      <c r="F5" s="44" t="s">
        <v>121</v>
      </c>
    </row>
    <row r="6">
      <c r="B6" s="54"/>
      <c r="F6" s="55" t="s">
        <v>122</v>
      </c>
    </row>
    <row r="7">
      <c r="A7" s="33"/>
      <c r="B7" s="25">
        <v>2023.0</v>
      </c>
      <c r="C7" s="25">
        <v>2022.0</v>
      </c>
      <c r="D7" s="25">
        <v>2021.0</v>
      </c>
      <c r="F7" s="25">
        <v>2023.0</v>
      </c>
      <c r="G7" s="25">
        <v>2022.0</v>
      </c>
      <c r="H7" s="25">
        <v>2021.0</v>
      </c>
    </row>
    <row r="9">
      <c r="A9" s="14" t="str">
        <f>'Balance sheet Company 1'!A9</f>
        <v>Intangible fixed assets</v>
      </c>
      <c r="B9" s="32">
        <f>A_IFA_20</f>
        <v>242947000</v>
      </c>
      <c r="C9" s="32">
        <f>A_IFA_19</f>
        <v>226175000</v>
      </c>
      <c r="D9" s="32">
        <f>A_IFA_18</f>
        <v>207180000</v>
      </c>
      <c r="F9" s="56">
        <f t="shared" ref="F9:F12" si="1">B9/$B$20</f>
        <v>0.07521874699</v>
      </c>
      <c r="G9" s="56">
        <f t="shared" ref="G9:G12" si="2">C9/$C$20</f>
        <v>0.07172150967</v>
      </c>
      <c r="H9" s="56">
        <f t="shared" ref="H9:H12" si="3">D9/$D$20</f>
        <v>0.06716805501</v>
      </c>
    </row>
    <row r="10">
      <c r="A10" s="14" t="str">
        <f>'Balance sheet Company 1'!A10</f>
        <v>Tangible fixed assets</v>
      </c>
      <c r="B10" s="32">
        <f>A_TFA_20</f>
        <v>145569000</v>
      </c>
      <c r="C10" s="32">
        <f>A_TFA_19</f>
        <v>139325000</v>
      </c>
      <c r="D10" s="32">
        <f>A_TFA_18</f>
        <v>144206000</v>
      </c>
      <c r="F10" s="56">
        <f t="shared" si="1"/>
        <v>0.04506957394</v>
      </c>
      <c r="G10" s="56">
        <f t="shared" si="2"/>
        <v>0.04418083048</v>
      </c>
      <c r="H10" s="56">
        <f t="shared" si="3"/>
        <v>0.04675179332</v>
      </c>
    </row>
    <row r="11">
      <c r="A11" s="14" t="str">
        <f>'Balance sheet Company 1'!A11</f>
        <v>Other fixed assets</v>
      </c>
      <c r="B11" s="41">
        <f>A_OFA_20</f>
        <v>75690000</v>
      </c>
      <c r="C11" s="41">
        <f>A_OFA_19</f>
        <v>82975000</v>
      </c>
      <c r="D11" s="41">
        <f>A_OFA_18</f>
        <v>41514000</v>
      </c>
      <c r="F11" s="57">
        <f t="shared" si="1"/>
        <v>0.02343435795</v>
      </c>
      <c r="G11" s="57">
        <f t="shared" si="2"/>
        <v>0.0263118924</v>
      </c>
      <c r="H11" s="57">
        <f t="shared" si="3"/>
        <v>0.01345889871</v>
      </c>
    </row>
    <row r="12">
      <c r="A12" s="30" t="str">
        <f>'Balance sheet Company 1'!A12</f>
        <v>Total fixed assets</v>
      </c>
      <c r="B12" s="31">
        <f>A_TotFA_20</f>
        <v>464206000</v>
      </c>
      <c r="C12" s="31">
        <f>A_TotFA_19</f>
        <v>448475000</v>
      </c>
      <c r="D12" s="31">
        <f>A_TotFA_18</f>
        <v>392900000</v>
      </c>
      <c r="E12" s="33"/>
      <c r="F12" s="58">
        <f t="shared" si="1"/>
        <v>0.1437226789</v>
      </c>
      <c r="G12" s="58">
        <f t="shared" si="2"/>
        <v>0.1422142326</v>
      </c>
      <c r="H12" s="58">
        <f t="shared" si="3"/>
        <v>0.127378747</v>
      </c>
    </row>
    <row r="13">
      <c r="B13" s="32"/>
      <c r="C13" s="32"/>
      <c r="D13" s="32"/>
      <c r="F13" s="56"/>
      <c r="G13" s="56"/>
      <c r="H13" s="56"/>
    </row>
    <row r="14">
      <c r="A14" s="14" t="str">
        <f>'Balance sheet Company 1'!A14</f>
        <v>Inventory</v>
      </c>
      <c r="B14" s="32">
        <f>A_INV_20</f>
        <v>767194000</v>
      </c>
      <c r="C14" s="32">
        <f>A_INV_19</f>
        <v>981396000</v>
      </c>
      <c r="D14" s="32">
        <f>A_INV_18</f>
        <v>910018000</v>
      </c>
      <c r="F14" s="56">
        <f t="shared" ref="F14:F18" si="4">B14/$B$20</f>
        <v>0.2375307017</v>
      </c>
      <c r="G14" s="56">
        <f t="shared" ref="G14:G18" si="5">C14/$C$20</f>
        <v>0.3112068208</v>
      </c>
      <c r="H14" s="56">
        <f t="shared" ref="H14:H18" si="6">D14/$D$20</f>
        <v>0.295029149</v>
      </c>
    </row>
    <row r="15">
      <c r="A15" s="14" t="str">
        <f>'Balance sheet Company 1'!A15</f>
        <v>Accounts receivable</v>
      </c>
      <c r="B15" s="32">
        <f>A_AR_20</f>
        <v>722066000</v>
      </c>
      <c r="C15" s="32">
        <f>A_AR_19</f>
        <v>803251000</v>
      </c>
      <c r="D15" s="32">
        <f>A_AR_18</f>
        <v>691874000</v>
      </c>
      <c r="F15" s="56">
        <f t="shared" si="4"/>
        <v>0.2235586353</v>
      </c>
      <c r="G15" s="56">
        <f t="shared" si="5"/>
        <v>0.2547159251</v>
      </c>
      <c r="H15" s="56">
        <f t="shared" si="6"/>
        <v>0.2243065493</v>
      </c>
    </row>
    <row r="16">
      <c r="A16" s="14" t="str">
        <f>'Balance sheet Company 1'!A16</f>
        <v>Cash and cash equivalents</v>
      </c>
      <c r="B16" s="32">
        <f>A_Cash_20</f>
        <v>665369000</v>
      </c>
      <c r="C16" s="32">
        <f>A_Cash_19</f>
        <v>478718000</v>
      </c>
      <c r="D16" s="32">
        <f>A_Cash_18</f>
        <v>617245000</v>
      </c>
      <c r="F16" s="56">
        <f t="shared" si="4"/>
        <v>0.2060046943</v>
      </c>
      <c r="G16" s="56">
        <f t="shared" si="5"/>
        <v>0.1518044774</v>
      </c>
      <c r="H16" s="56">
        <f t="shared" si="6"/>
        <v>0.2001117198</v>
      </c>
    </row>
    <row r="17">
      <c r="A17" s="14" t="str">
        <f>'Balance sheet Company 1'!A17</f>
        <v>Other current assets</v>
      </c>
      <c r="B17" s="41">
        <f>A_OCA_20</f>
        <v>611038000</v>
      </c>
      <c r="C17" s="41">
        <f>A_OCA_19</f>
        <v>441677000</v>
      </c>
      <c r="D17" s="41">
        <f>A_OCA_18</f>
        <v>472465000</v>
      </c>
      <c r="F17" s="57">
        <f t="shared" si="4"/>
        <v>0.1891832899</v>
      </c>
      <c r="G17" s="57">
        <f t="shared" si="5"/>
        <v>0.1400585442</v>
      </c>
      <c r="H17" s="57">
        <f t="shared" si="6"/>
        <v>0.1531738349</v>
      </c>
    </row>
    <row r="18">
      <c r="A18" s="30" t="str">
        <f>'Balance sheet Company 1'!A18</f>
        <v>Total current assets</v>
      </c>
      <c r="B18" s="31">
        <f>A_TCA_20</f>
        <v>2765667000</v>
      </c>
      <c r="C18" s="31">
        <f>A_TCA_19</f>
        <v>2705042000</v>
      </c>
      <c r="D18" s="31">
        <f>A_TCA_18</f>
        <v>2691602000</v>
      </c>
      <c r="E18" s="33"/>
      <c r="F18" s="58">
        <f t="shared" si="4"/>
        <v>0.8562773211</v>
      </c>
      <c r="G18" s="58">
        <f t="shared" si="5"/>
        <v>0.8577857674</v>
      </c>
      <c r="H18" s="58">
        <f t="shared" si="6"/>
        <v>0.872621253</v>
      </c>
    </row>
    <row r="19">
      <c r="B19" s="32"/>
      <c r="C19" s="32"/>
      <c r="D19" s="32"/>
      <c r="F19" s="56"/>
      <c r="G19" s="56"/>
      <c r="H19" s="56"/>
    </row>
    <row r="20">
      <c r="A20" s="33" t="str">
        <f>'Balance sheet Company 1'!A20</f>
        <v>TOTAL ASSETS</v>
      </c>
      <c r="B20" s="34">
        <f>A_TA_20</f>
        <v>3229873000</v>
      </c>
      <c r="C20" s="34">
        <f>A_TA_19</f>
        <v>3153517000</v>
      </c>
      <c r="D20" s="34">
        <f>A_TA_18</f>
        <v>3084502000</v>
      </c>
      <c r="E20" s="33"/>
      <c r="F20" s="59">
        <f>B20/$B$20</f>
        <v>1</v>
      </c>
      <c r="G20" s="59">
        <f>C20/$C$20</f>
        <v>1</v>
      </c>
      <c r="H20" s="59">
        <f>D20/$D$20</f>
        <v>1</v>
      </c>
    </row>
    <row r="21" ht="15.75" customHeight="1">
      <c r="B21" s="32"/>
      <c r="C21" s="32"/>
      <c r="D21" s="32"/>
      <c r="F21" s="56"/>
      <c r="G21" s="56"/>
      <c r="H21" s="56"/>
    </row>
    <row r="22" ht="15.75" customHeight="1">
      <c r="B22" s="32"/>
      <c r="C22" s="32"/>
      <c r="D22" s="32"/>
      <c r="F22" s="56"/>
      <c r="G22" s="56"/>
      <c r="H22" s="56"/>
    </row>
    <row r="23" ht="15.75" customHeight="1">
      <c r="A23" s="14" t="str">
        <f>'Balance sheet Company 1'!A23</f>
        <v>Issued share capital</v>
      </c>
      <c r="B23" s="32">
        <f>A_ISC_20</f>
        <v>1043806000</v>
      </c>
      <c r="C23" s="32">
        <f>A_ISC_19</f>
        <v>1039578000</v>
      </c>
      <c r="D23" s="32">
        <f>A_ISC_18</f>
        <v>948971000</v>
      </c>
      <c r="F23" s="56">
        <f t="shared" ref="F23:F25" si="7">B23/$B$20</f>
        <v>0.3231724591</v>
      </c>
      <c r="G23" s="56">
        <f t="shared" ref="G23:G25" si="8">C23/$C$20</f>
        <v>0.3296566976</v>
      </c>
      <c r="H23" s="56">
        <f t="shared" ref="H23:H25" si="9">D23/$D$20</f>
        <v>0.3076577678</v>
      </c>
    </row>
    <row r="24" ht="15.75" customHeight="1">
      <c r="A24" s="14" t="str">
        <f>'Balance sheet Company 1'!A24</f>
        <v>Other equity</v>
      </c>
      <c r="B24" s="41">
        <f>A_OSF_20</f>
        <v>1277000</v>
      </c>
      <c r="C24" s="41">
        <f>A_OSF_19</f>
        <v>835000</v>
      </c>
      <c r="D24" s="41">
        <f>A_OSF_18</f>
        <v>528000</v>
      </c>
      <c r="F24" s="57">
        <f t="shared" si="7"/>
        <v>0.0003953715827</v>
      </c>
      <c r="G24" s="57">
        <f t="shared" si="8"/>
        <v>0.0002647837319</v>
      </c>
      <c r="H24" s="57">
        <f t="shared" si="9"/>
        <v>0.000171178362</v>
      </c>
    </row>
    <row r="25" ht="15.75" customHeight="1">
      <c r="A25" s="33" t="s">
        <v>80</v>
      </c>
      <c r="B25" s="31">
        <f>A_TEQ_20</f>
        <v>1045083000</v>
      </c>
      <c r="C25" s="31">
        <f>A_TEQ_19</f>
        <v>1040413000</v>
      </c>
      <c r="D25" s="31">
        <f>A_TEQ_18</f>
        <v>949499000</v>
      </c>
      <c r="E25" s="33"/>
      <c r="F25" s="58">
        <f t="shared" si="7"/>
        <v>0.3235678307</v>
      </c>
      <c r="G25" s="58">
        <f t="shared" si="8"/>
        <v>0.3299214813</v>
      </c>
      <c r="H25" s="58">
        <f t="shared" si="9"/>
        <v>0.3078289461</v>
      </c>
    </row>
    <row r="26" ht="15.75" customHeight="1">
      <c r="B26" s="32"/>
      <c r="C26" s="32"/>
      <c r="D26" s="32"/>
      <c r="F26" s="56"/>
      <c r="G26" s="56"/>
      <c r="H26" s="56"/>
    </row>
    <row r="27" ht="15.75" customHeight="1">
      <c r="A27" s="14" t="str">
        <f>'Balance sheet Company 1'!A27</f>
        <v>Long-term liabilities</v>
      </c>
      <c r="B27" s="41">
        <f>A_LTL_20</f>
        <v>163080000</v>
      </c>
      <c r="C27" s="41">
        <f>A_LTL_19</f>
        <v>281974000</v>
      </c>
      <c r="D27" s="41">
        <f>A_LTL_18</f>
        <v>280842000</v>
      </c>
      <c r="F27" s="57">
        <f t="shared" ref="F27:F28" si="10">B27/$B$20</f>
        <v>0.05049114934</v>
      </c>
      <c r="G27" s="57">
        <f t="shared" ref="G27:G28" si="11">C27/$C$20</f>
        <v>0.08941572219</v>
      </c>
      <c r="H27" s="57">
        <f t="shared" ref="H27:H28" si="12">D27/$D$20</f>
        <v>0.09104938172</v>
      </c>
    </row>
    <row r="28" ht="15.75" customHeight="1">
      <c r="A28" s="30" t="str">
        <f>'Balance sheet Company 1'!A28</f>
        <v>Total non-current liabilities</v>
      </c>
      <c r="B28" s="31">
        <f>A_TNCL_20</f>
        <v>163080000</v>
      </c>
      <c r="C28" s="31">
        <f>A_TNCL_19</f>
        <v>281974000</v>
      </c>
      <c r="D28" s="31">
        <f>A_TNCL_18</f>
        <v>280842000</v>
      </c>
      <c r="E28" s="33"/>
      <c r="F28" s="58">
        <f t="shared" si="10"/>
        <v>0.05049114934</v>
      </c>
      <c r="G28" s="58">
        <f t="shared" si="11"/>
        <v>0.08941572219</v>
      </c>
      <c r="H28" s="58">
        <f t="shared" si="12"/>
        <v>0.09104938172</v>
      </c>
    </row>
    <row r="29" ht="15.75" customHeight="1">
      <c r="B29" s="32"/>
      <c r="C29" s="32"/>
      <c r="D29" s="32"/>
      <c r="F29" s="56"/>
      <c r="G29" s="56"/>
      <c r="H29" s="56"/>
    </row>
    <row r="30" ht="15.75" customHeight="1">
      <c r="A30" s="14" t="str">
        <f>'Balance sheet Company 1'!A30</f>
        <v>Accounts payable</v>
      </c>
      <c r="B30" s="32">
        <f>A_AP_20</f>
        <v>1467407000</v>
      </c>
      <c r="C30" s="32">
        <f>A_AP_19</f>
        <v>1407804000</v>
      </c>
      <c r="D30" s="32">
        <f>A_AP_18</f>
        <v>1423567000</v>
      </c>
      <c r="F30" s="56">
        <f t="shared" ref="F30:F32" si="13">B30/$B$20</f>
        <v>0.4543234362</v>
      </c>
      <c r="G30" s="56">
        <f t="shared" ref="G30:G32" si="14">C30/$C$20</f>
        <v>0.4464234694</v>
      </c>
      <c r="H30" s="56">
        <f t="shared" ref="H30:H32" si="15">D30/$D$20</f>
        <v>0.4615224759</v>
      </c>
    </row>
    <row r="31" ht="15.75" customHeight="1">
      <c r="A31" s="14" t="str">
        <f>'Balance sheet Company 1'!A31</f>
        <v>Other current liabilities</v>
      </c>
      <c r="B31" s="41">
        <f>A_OCL_20</f>
        <v>554303000</v>
      </c>
      <c r="C31" s="41">
        <f>A_OCL_19</f>
        <v>423326000</v>
      </c>
      <c r="D31" s="41">
        <f>A_OCL_18</f>
        <v>430594000</v>
      </c>
      <c r="F31" s="57">
        <f t="shared" si="13"/>
        <v>0.1716175837</v>
      </c>
      <c r="G31" s="57">
        <f t="shared" si="14"/>
        <v>0.1342393271</v>
      </c>
      <c r="H31" s="57">
        <f t="shared" si="15"/>
        <v>0.1395991962</v>
      </c>
    </row>
    <row r="32" ht="15.75" customHeight="1">
      <c r="A32" s="30" t="str">
        <f>'Balance sheet Company 1'!A32</f>
        <v>Total current liabilities</v>
      </c>
      <c r="B32" s="31">
        <f>A_TCL_20</f>
        <v>2021710000</v>
      </c>
      <c r="C32" s="31">
        <f>A_TCL_19</f>
        <v>1831130000</v>
      </c>
      <c r="D32" s="31">
        <f>A_TCL_18</f>
        <v>1854161000</v>
      </c>
      <c r="E32" s="33"/>
      <c r="F32" s="58">
        <f t="shared" si="13"/>
        <v>0.62594102</v>
      </c>
      <c r="G32" s="58">
        <f t="shared" si="14"/>
        <v>0.5806627965</v>
      </c>
      <c r="H32" s="58">
        <f t="shared" si="15"/>
        <v>0.6011216722</v>
      </c>
    </row>
    <row r="33" ht="15.75" customHeight="1">
      <c r="B33" s="32"/>
      <c r="C33" s="32"/>
      <c r="D33" s="32"/>
      <c r="F33" s="56"/>
      <c r="G33" s="56"/>
      <c r="H33" s="56"/>
    </row>
    <row r="34" ht="15.75" customHeight="1">
      <c r="A34" s="33" t="str">
        <f>'Balance sheet Company 1'!A34</f>
        <v>TOTAL EQUITY AND LIABILITIES</v>
      </c>
      <c r="B34" s="34">
        <f>A_TEL_20</f>
        <v>3229873000</v>
      </c>
      <c r="C34" s="34">
        <f>A_TEL_19</f>
        <v>3153517000</v>
      </c>
      <c r="D34" s="34">
        <f>A_TEL_18</f>
        <v>3084502000</v>
      </c>
      <c r="E34" s="33"/>
      <c r="F34" s="59">
        <f>B34/$B$20</f>
        <v>1</v>
      </c>
      <c r="G34" s="59">
        <f>C34/$C$20</f>
        <v>1</v>
      </c>
      <c r="H34" s="59">
        <f>D34/$D$20</f>
        <v>1</v>
      </c>
    </row>
    <row r="35" ht="15.75" customHeight="1"/>
    <row r="36" ht="15.75" customHeight="1"/>
    <row r="37" ht="15.75" customHeight="1"/>
    <row r="38" ht="15.75" customHeight="1"/>
    <row r="39" ht="15.75" customHeight="1"/>
    <row r="40" ht="15.75" customHeight="1"/>
    <row r="41" ht="15.75" customHeight="1"/>
    <row r="42" ht="15.75" customHeight="1">
      <c r="B42" s="44" t="s">
        <v>95</v>
      </c>
      <c r="F42" s="44" t="s">
        <v>121</v>
      </c>
    </row>
    <row r="43" ht="15.75" customHeight="1">
      <c r="F43" s="55" t="s">
        <v>123</v>
      </c>
    </row>
    <row r="44" ht="15.75" customHeight="1">
      <c r="A44" s="33" t="s">
        <v>95</v>
      </c>
      <c r="B44" s="25">
        <f t="shared" ref="B44:D44" si="16">+B7</f>
        <v>2023</v>
      </c>
      <c r="C44" s="25">
        <f t="shared" si="16"/>
        <v>2022</v>
      </c>
      <c r="D44" s="25">
        <f t="shared" si="16"/>
        <v>2021</v>
      </c>
      <c r="F44" s="25">
        <f t="shared" ref="F44:H44" si="17">+F7</f>
        <v>2023</v>
      </c>
      <c r="G44" s="25">
        <f t="shared" si="17"/>
        <v>2022</v>
      </c>
      <c r="H44" s="25">
        <f t="shared" si="17"/>
        <v>2021</v>
      </c>
    </row>
    <row r="45" ht="15.75" customHeight="1"/>
    <row r="46" ht="15.75" customHeight="1">
      <c r="A46" s="14" t="str">
        <f>'Income statement Company 1'!A9</f>
        <v>Revenue</v>
      </c>
      <c r="B46" s="32">
        <f>A_Sales_20</f>
        <v>9959628000</v>
      </c>
      <c r="C46" s="32">
        <f>A_Sales_19</f>
        <v>11552876000</v>
      </c>
      <c r="D46" s="32">
        <f>A_Sales_18</f>
        <v>12394388000</v>
      </c>
      <c r="F46" s="56">
        <f t="shared" ref="F46:F48" si="18">B46/$B$46</f>
        <v>1</v>
      </c>
      <c r="G46" s="56">
        <f t="shared" ref="G46:G48" si="19">C46/$C$46</f>
        <v>1</v>
      </c>
      <c r="H46" s="56">
        <f t="shared" ref="H46:H48" si="20">D46/$D$46</f>
        <v>1</v>
      </c>
    </row>
    <row r="47" ht="15.75" customHeight="1">
      <c r="A47" s="14" t="str">
        <f>'Income statement Company 1'!A10</f>
        <v>Cost of goods sold (enter positive number)</v>
      </c>
      <c r="B47" s="41">
        <f>A_COGS_20</f>
        <v>9264618000</v>
      </c>
      <c r="C47" s="41">
        <f>A_COGS_19</f>
        <v>10839468000</v>
      </c>
      <c r="D47" s="41">
        <f>A_COGS_18</f>
        <v>11710962000</v>
      </c>
      <c r="F47" s="57">
        <f t="shared" si="18"/>
        <v>0.9302172732</v>
      </c>
      <c r="G47" s="57">
        <f t="shared" si="19"/>
        <v>0.93824845</v>
      </c>
      <c r="H47" s="57">
        <f t="shared" si="20"/>
        <v>0.9448600447</v>
      </c>
    </row>
    <row r="48" ht="15.75" customHeight="1">
      <c r="A48" s="30" t="str">
        <f>'Income statement Company 1'!A11</f>
        <v>Gross profit</v>
      </c>
      <c r="B48" s="31">
        <f>A_GP_20</f>
        <v>695010000</v>
      </c>
      <c r="C48" s="31">
        <f>A_GP_19</f>
        <v>713408000</v>
      </c>
      <c r="D48" s="31">
        <f>A_GP_18</f>
        <v>683426000</v>
      </c>
      <c r="F48" s="58">
        <f t="shared" si="18"/>
        <v>0.06978272682</v>
      </c>
      <c r="G48" s="58">
        <f t="shared" si="19"/>
        <v>0.06175155</v>
      </c>
      <c r="H48" s="58">
        <f t="shared" si="20"/>
        <v>0.05513995528</v>
      </c>
    </row>
    <row r="49" ht="15.75" customHeight="1">
      <c r="B49" s="32"/>
      <c r="C49" s="32"/>
      <c r="D49" s="32"/>
      <c r="F49" s="56"/>
      <c r="G49" s="56"/>
      <c r="H49" s="56"/>
    </row>
    <row r="50" ht="15.75" customHeight="1">
      <c r="A50" s="14" t="str">
        <f>'Income statement Company 1'!A13</f>
        <v>Other operating expenses (enter expenses as a negative number)</v>
      </c>
      <c r="B50" s="41">
        <f>A_Opex_20</f>
        <v>-492306000</v>
      </c>
      <c r="C50" s="41">
        <f>A_Opex_19</f>
        <v>-476577000</v>
      </c>
      <c r="D50" s="41">
        <f>A_Opex_18</f>
        <v>-465866000</v>
      </c>
      <c r="F50" s="57">
        <f t="shared" ref="F50:F51" si="21">B50/$B$46</f>
        <v>-0.04943015944</v>
      </c>
      <c r="G50" s="57">
        <f t="shared" ref="G50:G51" si="22">C50/$C$46</f>
        <v>-0.04125180604</v>
      </c>
      <c r="H50" s="57">
        <f t="shared" ref="H50:H51" si="23">D50/$D$46</f>
        <v>-0.03758684979</v>
      </c>
    </row>
    <row r="51" ht="15.75" customHeight="1">
      <c r="A51" s="30" t="str">
        <f>'Income statement Company 1'!A14</f>
        <v>Operating profit (EBIT)</v>
      </c>
      <c r="B51" s="31">
        <f>A_EBIT_20</f>
        <v>202704000</v>
      </c>
      <c r="C51" s="31">
        <f>A_EBIT_19</f>
        <v>236831000</v>
      </c>
      <c r="D51" s="31">
        <f>A_EBIT_18</f>
        <v>217560000</v>
      </c>
      <c r="F51" s="58">
        <f t="shared" si="21"/>
        <v>0.02035256739</v>
      </c>
      <c r="G51" s="58">
        <f t="shared" si="22"/>
        <v>0.02049974396</v>
      </c>
      <c r="H51" s="58">
        <f t="shared" si="23"/>
        <v>0.01755310549</v>
      </c>
    </row>
    <row r="52" ht="15.75" customHeight="1">
      <c r="B52" s="32"/>
      <c r="C52" s="32"/>
      <c r="D52" s="32"/>
      <c r="F52" s="56"/>
      <c r="G52" s="56"/>
      <c r="H52" s="56"/>
    </row>
    <row r="53" ht="15.75" customHeight="1">
      <c r="A53" s="14" t="str">
        <f>'Income statement Company 1'!A16</f>
        <v>Financial expenses (enter expenses as a negative number)</v>
      </c>
      <c r="B53" s="32">
        <f>A_FINEX_20</f>
        <v>-40789000</v>
      </c>
      <c r="C53" s="32">
        <f>A_FINEX_19</f>
        <v>-32922000</v>
      </c>
      <c r="D53" s="32">
        <f>A_FINEX_18</f>
        <v>-21811000</v>
      </c>
      <c r="F53" s="56">
        <f t="shared" ref="F53:F55" si="24">B53/$B$46</f>
        <v>-0.004095434086</v>
      </c>
      <c r="G53" s="56">
        <f t="shared" ref="G53:G55" si="25">C53/$C$46</f>
        <v>-0.002849680028</v>
      </c>
      <c r="H53" s="56">
        <f t="shared" ref="H53:H55" si="26">D53/$D$46</f>
        <v>-0.001759748041</v>
      </c>
    </row>
    <row r="54" ht="15.75" customHeight="1">
      <c r="A54" s="14" t="str">
        <f>'Income statement Company 1'!A17</f>
        <v>Financial income (including share of profit or loss from associates)</v>
      </c>
      <c r="B54" s="41">
        <f>A_FININC_20</f>
        <v>12608000</v>
      </c>
      <c r="C54" s="41">
        <f>A_FININC_19</f>
        <v>4032000</v>
      </c>
      <c r="D54" s="41">
        <f>A_FININC_18</f>
        <v>5341000</v>
      </c>
      <c r="F54" s="57">
        <f t="shared" si="24"/>
        <v>0.001265910735</v>
      </c>
      <c r="G54" s="57">
        <f t="shared" si="25"/>
        <v>0.0003490040056</v>
      </c>
      <c r="H54" s="57">
        <f t="shared" si="26"/>
        <v>0.0004309208329</v>
      </c>
    </row>
    <row r="55" ht="15.75" customHeight="1">
      <c r="A55" s="30" t="str">
        <f>'Income statement Company 1'!A18</f>
        <v>Net financial income or expense </v>
      </c>
      <c r="B55" s="31">
        <f>A_NETFINEX_20</f>
        <v>-28181000</v>
      </c>
      <c r="C55" s="31">
        <f>A_NETFINEX_19</f>
        <v>-28890000</v>
      </c>
      <c r="D55" s="31">
        <f>A_NETFINEX_18</f>
        <v>-16470000</v>
      </c>
      <c r="F55" s="58">
        <f t="shared" si="24"/>
        <v>-0.002829523352</v>
      </c>
      <c r="G55" s="58">
        <f t="shared" si="25"/>
        <v>-0.002500676022</v>
      </c>
      <c r="H55" s="58">
        <f t="shared" si="26"/>
        <v>-0.001328827208</v>
      </c>
    </row>
    <row r="56" ht="15.75" customHeight="1">
      <c r="B56" s="45"/>
      <c r="C56" s="45"/>
      <c r="D56" s="45"/>
      <c r="F56" s="60"/>
      <c r="G56" s="60"/>
      <c r="H56" s="60"/>
    </row>
    <row r="57" ht="15.75" customHeight="1">
      <c r="A57" s="30" t="str">
        <f>'Income statement Company 1'!A20</f>
        <v>Profit (loss) before tax</v>
      </c>
      <c r="B57" s="31">
        <f>A_PBT_20</f>
        <v>174523000</v>
      </c>
      <c r="C57" s="31">
        <f>A_PBT_19</f>
        <v>207941000</v>
      </c>
      <c r="D57" s="31">
        <f>A_PBT_18</f>
        <v>201090000</v>
      </c>
      <c r="F57" s="58">
        <f>B57/$B$46</f>
        <v>0.01752304403</v>
      </c>
      <c r="G57" s="58">
        <f>C57/$C$46</f>
        <v>0.01799906794</v>
      </c>
      <c r="H57" s="58">
        <f>D57/$D$46</f>
        <v>0.01622427828</v>
      </c>
    </row>
    <row r="58" ht="15.75" customHeight="1">
      <c r="B58" s="32"/>
      <c r="C58" s="32"/>
      <c r="D58" s="32"/>
      <c r="F58" s="56"/>
      <c r="G58" s="56"/>
      <c r="H58" s="56"/>
    </row>
    <row r="59" ht="15.75" customHeight="1">
      <c r="A59" s="14" t="str">
        <f>'Income statement Company 1'!A22</f>
        <v>Income tax expense (enter expenses as a negative number)</v>
      </c>
      <c r="B59" s="32">
        <f>A_TaxExp_20</f>
        <v>-50418000</v>
      </c>
      <c r="C59" s="32">
        <f>A_TaxExp_19</f>
        <v>-55574000</v>
      </c>
      <c r="D59" s="32">
        <f>A_TaxExp_18</f>
        <v>-46893000</v>
      </c>
      <c r="F59" s="56">
        <f>B59/$B$46</f>
        <v>-0.005062237264</v>
      </c>
      <c r="G59" s="56">
        <f>C59/$C$46</f>
        <v>-0.00481040392</v>
      </c>
      <c r="H59" s="56">
        <f>D59/$D$46</f>
        <v>-0.003783405845</v>
      </c>
    </row>
    <row r="60" ht="15.75" customHeight="1">
      <c r="B60" s="41"/>
      <c r="C60" s="41"/>
      <c r="D60" s="41"/>
      <c r="F60" s="57"/>
      <c r="G60" s="57"/>
      <c r="H60" s="57"/>
    </row>
    <row r="61" ht="15.75" customHeight="1">
      <c r="A61" s="30" t="str">
        <f>'Income statement Company 1'!A24</f>
        <v>Net profit</v>
      </c>
      <c r="B61" s="34">
        <f>A_NP_20</f>
        <v>124105000</v>
      </c>
      <c r="C61" s="34">
        <f>A_NP_19</f>
        <v>152367000</v>
      </c>
      <c r="D61" s="34">
        <f>A_NP_18</f>
        <v>154197000</v>
      </c>
      <c r="F61" s="59">
        <f>B61/$B$46</f>
        <v>0.01246080677</v>
      </c>
      <c r="G61" s="59">
        <f>C61/$C$46</f>
        <v>0.01318866402</v>
      </c>
      <c r="H61" s="59">
        <f>D61/$D$46</f>
        <v>0.01244087243</v>
      </c>
    </row>
    <row r="62" ht="15.75" customHeight="1">
      <c r="F62" s="56"/>
      <c r="G62" s="56"/>
      <c r="H62" s="56"/>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F42:H42"/>
    <mergeCell ref="F43:H43"/>
    <mergeCell ref="B1:H1"/>
    <mergeCell ref="B3:H3"/>
    <mergeCell ref="B5:D5"/>
    <mergeCell ref="F5:H5"/>
    <mergeCell ref="B6:D6"/>
    <mergeCell ref="F6:H6"/>
    <mergeCell ref="B42:D42"/>
  </mergeCells>
  <printOptions/>
  <pageMargins bottom="0.75" footer="0.0" header="0.0" left="0.7" right="0.7" top="0.75"/>
  <pageSetup paperSize="9" scale="48"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52.86"/>
    <col customWidth="1" min="2" max="8" width="16.86"/>
    <col customWidth="1" min="9" max="26" width="8.86"/>
  </cols>
  <sheetData>
    <row r="1">
      <c r="A1" s="52">
        <v>1.0</v>
      </c>
      <c r="B1" s="61" t="str">
        <f>B_Company</f>
        <v>GRUPA AZOTY S.A</v>
      </c>
      <c r="C1" s="20"/>
      <c r="D1" s="20"/>
      <c r="E1" s="20"/>
      <c r="F1" s="20"/>
      <c r="G1" s="20"/>
      <c r="H1" s="21"/>
    </row>
    <row r="2">
      <c r="A2" s="18"/>
      <c r="B2" s="62"/>
      <c r="C2" s="62"/>
      <c r="D2" s="62"/>
      <c r="E2" s="62"/>
      <c r="F2" s="62"/>
      <c r="G2" s="62"/>
      <c r="H2" s="62"/>
    </row>
    <row r="3">
      <c r="A3" s="18" t="s">
        <v>65</v>
      </c>
      <c r="B3" s="61">
        <f>AssignNo</f>
        <v>30</v>
      </c>
      <c r="C3" s="20"/>
      <c r="D3" s="20"/>
      <c r="E3" s="20"/>
      <c r="F3" s="20"/>
      <c r="G3" s="20"/>
      <c r="H3" s="21"/>
    </row>
    <row r="4">
      <c r="A4" s="33"/>
    </row>
    <row r="5">
      <c r="B5" s="44" t="s">
        <v>67</v>
      </c>
      <c r="F5" s="44" t="s">
        <v>121</v>
      </c>
    </row>
    <row r="6">
      <c r="B6" s="54"/>
      <c r="F6" s="55" t="s">
        <v>122</v>
      </c>
    </row>
    <row r="7">
      <c r="A7" s="33"/>
      <c r="B7" s="25">
        <v>2023.0</v>
      </c>
      <c r="C7" s="25">
        <v>2022.0</v>
      </c>
      <c r="D7" s="25">
        <v>2021.0</v>
      </c>
      <c r="F7" s="25">
        <f t="shared" ref="F7:H7" si="1">+B7</f>
        <v>2023</v>
      </c>
      <c r="G7" s="25">
        <f t="shared" si="1"/>
        <v>2022</v>
      </c>
      <c r="H7" s="25">
        <f t="shared" si="1"/>
        <v>2021</v>
      </c>
    </row>
    <row r="9">
      <c r="A9" s="14" t="str">
        <f>'Balance sheet Company 2'!A9</f>
        <v>Intangible fixed assets</v>
      </c>
      <c r="B9" s="32">
        <f>B_IFA_20</f>
        <v>1935281000</v>
      </c>
      <c r="C9" s="32">
        <f>B_IFA_19</f>
        <v>2035213000</v>
      </c>
      <c r="D9" s="32">
        <f>B_IFA_18</f>
        <v>2123399000</v>
      </c>
      <c r="F9" s="56">
        <f t="shared" ref="F9:F12" si="2">B9/$B$20</f>
        <v>0.07965260045</v>
      </c>
      <c r="G9" s="56">
        <f t="shared" ref="G9:G12" si="3">C9/$C$20</f>
        <v>0.07868402581</v>
      </c>
      <c r="H9" s="56">
        <f t="shared" ref="H9:H12" si="4">D9/$D$20</f>
        <v>0.08980441921</v>
      </c>
    </row>
    <row r="10">
      <c r="A10" s="14" t="str">
        <f>'Balance sheet Company 2'!A10</f>
        <v>Tangible fixed assets</v>
      </c>
      <c r="B10" s="32">
        <f>B_TFA_20</f>
        <v>13747762000</v>
      </c>
      <c r="C10" s="32">
        <f>B_TFA_19</f>
        <v>13458775000</v>
      </c>
      <c r="D10" s="32">
        <f>B_TFA_18</f>
        <v>12025731000</v>
      </c>
      <c r="F10" s="56">
        <f t="shared" si="2"/>
        <v>0.5658325554</v>
      </c>
      <c r="G10" s="56">
        <f t="shared" si="3"/>
        <v>0.5203340385</v>
      </c>
      <c r="H10" s="56">
        <f t="shared" si="4"/>
        <v>0.5086014395</v>
      </c>
    </row>
    <row r="11">
      <c r="A11" s="14" t="str">
        <f>'Balance sheet Company 2'!A11</f>
        <v>Other fixed assets</v>
      </c>
      <c r="B11" s="41">
        <f>B_OFA_20</f>
        <v>1582073000</v>
      </c>
      <c r="C11" s="41">
        <f>B_OFA_19</f>
        <v>1454765000</v>
      </c>
      <c r="D11" s="41">
        <f>B_OFA_18</f>
        <v>756706000</v>
      </c>
      <c r="F11" s="57">
        <f t="shared" si="2"/>
        <v>0.06511520991</v>
      </c>
      <c r="G11" s="57">
        <f t="shared" si="3"/>
        <v>0.05624313858</v>
      </c>
      <c r="H11" s="57">
        <f t="shared" si="4"/>
        <v>0.03200319057</v>
      </c>
    </row>
    <row r="12">
      <c r="A12" s="30" t="str">
        <f>'Balance sheet Company 2'!A12</f>
        <v>Total fixed assets</v>
      </c>
      <c r="B12" s="31">
        <f>B_TotFA_20</f>
        <v>17265116000</v>
      </c>
      <c r="C12" s="31">
        <f>B_TotFA_19</f>
        <v>16948753000</v>
      </c>
      <c r="D12" s="31">
        <f>B_TotFA_18</f>
        <v>14905836000</v>
      </c>
      <c r="E12" s="33"/>
      <c r="F12" s="58">
        <f t="shared" si="2"/>
        <v>0.7106003658</v>
      </c>
      <c r="G12" s="58">
        <f t="shared" si="3"/>
        <v>0.6552612029</v>
      </c>
      <c r="H12" s="58">
        <f t="shared" si="4"/>
        <v>0.6304090493</v>
      </c>
    </row>
    <row r="13">
      <c r="B13" s="32"/>
      <c r="C13" s="32"/>
      <c r="D13" s="32"/>
      <c r="F13" s="56"/>
      <c r="G13" s="56"/>
      <c r="H13" s="56"/>
    </row>
    <row r="14">
      <c r="A14" s="14" t="str">
        <f>'Balance sheet Company 2'!A14</f>
        <v>Inventory</v>
      </c>
      <c r="B14" s="32">
        <f>B_INV_20</f>
        <v>2469246000</v>
      </c>
      <c r="C14" s="32">
        <f>B_INV_19</f>
        <v>3444385000</v>
      </c>
      <c r="D14" s="32">
        <f>B_INV_18</f>
        <v>2313143000</v>
      </c>
      <c r="F14" s="56">
        <f t="shared" ref="F14:F18" si="5">B14/$B$20</f>
        <v>0.1016296161</v>
      </c>
      <c r="G14" s="56">
        <f t="shared" ref="G14:G18" si="6">C14/$C$20</f>
        <v>0.1331644787</v>
      </c>
      <c r="H14" s="56">
        <f t="shared" ref="H14:H18" si="7">D14/$D$20</f>
        <v>0.097829218</v>
      </c>
    </row>
    <row r="15">
      <c r="A15" s="14" t="str">
        <f>'Balance sheet Company 2'!A15</f>
        <v>Accounts receivable</v>
      </c>
      <c r="B15" s="32">
        <f>B_AR_20</f>
        <v>1432699000</v>
      </c>
      <c r="C15" s="32">
        <f>B_AR_19</f>
        <v>2026024000</v>
      </c>
      <c r="D15" s="32">
        <f>B_AR_18</f>
        <v>2453579000</v>
      </c>
      <c r="F15" s="56">
        <f t="shared" si="5"/>
        <v>0.05896725128</v>
      </c>
      <c r="G15" s="56">
        <f t="shared" si="6"/>
        <v>0.07832876692</v>
      </c>
      <c r="H15" s="56">
        <f t="shared" si="7"/>
        <v>0.103768645</v>
      </c>
    </row>
    <row r="16">
      <c r="A16" s="14" t="str">
        <f>'Balance sheet Company 2'!A16</f>
        <v>Cash and cash equivalents</v>
      </c>
      <c r="B16" s="32">
        <f>B_Cash_20</f>
        <v>1012355000</v>
      </c>
      <c r="C16" s="32">
        <f>B_Cash_19</f>
        <v>1376541000</v>
      </c>
      <c r="D16" s="32">
        <f>B_Cash_18</f>
        <v>2362193000</v>
      </c>
      <c r="F16" s="56">
        <f t="shared" si="5"/>
        <v>0.04166666667</v>
      </c>
      <c r="G16" s="56">
        <f t="shared" si="6"/>
        <v>0.0532188953</v>
      </c>
      <c r="H16" s="56">
        <f t="shared" si="7"/>
        <v>0.09990367822</v>
      </c>
    </row>
    <row r="17">
      <c r="A17" s="14" t="str">
        <f>'Balance sheet Company 2'!A17</f>
        <v>Other current assets</v>
      </c>
      <c r="B17" s="41">
        <f>B_OCA_20</f>
        <v>2117104000</v>
      </c>
      <c r="C17" s="41">
        <f>B_OCA_19</f>
        <v>2069941000</v>
      </c>
      <c r="D17" s="41">
        <f>B_OCA_18</f>
        <v>1609954000</v>
      </c>
      <c r="F17" s="57">
        <f t="shared" si="5"/>
        <v>0.08713610015</v>
      </c>
      <c r="G17" s="57">
        <f t="shared" si="6"/>
        <v>0.08002665621</v>
      </c>
      <c r="H17" s="57">
        <f t="shared" si="7"/>
        <v>0.06808940945</v>
      </c>
    </row>
    <row r="18">
      <c r="A18" s="30" t="str">
        <f>'Balance sheet Company 2'!A18</f>
        <v>Total current assets</v>
      </c>
      <c r="B18" s="31">
        <f>B_TCA_20</f>
        <v>7031404000</v>
      </c>
      <c r="C18" s="31">
        <f>B_TCA_19</f>
        <v>8916891000</v>
      </c>
      <c r="D18" s="31">
        <f>B_TCA_18</f>
        <v>8738869000</v>
      </c>
      <c r="E18" s="33"/>
      <c r="F18" s="58">
        <f t="shared" si="5"/>
        <v>0.2893996342</v>
      </c>
      <c r="G18" s="58">
        <f t="shared" si="6"/>
        <v>0.3447387971</v>
      </c>
      <c r="H18" s="58">
        <f t="shared" si="7"/>
        <v>0.3695909507</v>
      </c>
    </row>
    <row r="19">
      <c r="B19" s="32"/>
      <c r="C19" s="32"/>
      <c r="D19" s="32"/>
      <c r="F19" s="56"/>
      <c r="G19" s="56"/>
      <c r="H19" s="56"/>
    </row>
    <row r="20">
      <c r="A20" s="33" t="str">
        <f>'Balance sheet Company 2'!A20</f>
        <v>TOTAL ASSETS</v>
      </c>
      <c r="B20" s="34">
        <f>B_TA_20</f>
        <v>24296520000</v>
      </c>
      <c r="C20" s="34">
        <f>B_TA_19</f>
        <v>25865644000</v>
      </c>
      <c r="D20" s="34">
        <f>B_TA_18</f>
        <v>23644705000</v>
      </c>
      <c r="E20" s="33"/>
      <c r="F20" s="59">
        <f>B20/$B$20</f>
        <v>1</v>
      </c>
      <c r="G20" s="59">
        <f>C20/$C$20</f>
        <v>1</v>
      </c>
      <c r="H20" s="59">
        <f>D20/$D$20</f>
        <v>1</v>
      </c>
    </row>
    <row r="21" ht="15.75" customHeight="1">
      <c r="B21" s="32"/>
      <c r="C21" s="32"/>
      <c r="D21" s="32"/>
      <c r="F21" s="56"/>
      <c r="G21" s="56"/>
      <c r="H21" s="56"/>
    </row>
    <row r="22" ht="15.75" customHeight="1">
      <c r="B22" s="32"/>
      <c r="C22" s="32"/>
      <c r="D22" s="32"/>
      <c r="F22" s="56"/>
      <c r="G22" s="56"/>
      <c r="H22" s="56"/>
    </row>
    <row r="23" ht="15.75" customHeight="1">
      <c r="A23" s="14" t="str">
        <f>'Balance sheet Company 2'!A23</f>
        <v>Issued share capital</v>
      </c>
      <c r="B23" s="32">
        <f>B_ISC_20</f>
        <v>495977000</v>
      </c>
      <c r="C23" s="32">
        <f>B_ISC_19</f>
        <v>495977000</v>
      </c>
      <c r="D23" s="32">
        <f>B_ISC_18</f>
        <v>495977000</v>
      </c>
      <c r="F23" s="56">
        <f t="shared" ref="F23:F25" si="8">B23/$B$20</f>
        <v>0.02041349955</v>
      </c>
      <c r="G23" s="56">
        <f t="shared" ref="G23:G25" si="9">C23/$C$20</f>
        <v>0.01917512667</v>
      </c>
      <c r="H23" s="56">
        <f t="shared" ref="H23:H25" si="10">D23/$D$20</f>
        <v>0.02097623971</v>
      </c>
    </row>
    <row r="24" ht="15.75" customHeight="1">
      <c r="A24" s="14" t="str">
        <f>'Balance sheet Company 2'!A24</f>
        <v>Other equity</v>
      </c>
      <c r="B24" s="41">
        <f>B_OSF_20</f>
        <v>5972312000</v>
      </c>
      <c r="C24" s="41">
        <f>B_OSF_19</f>
        <v>9460390000</v>
      </c>
      <c r="D24" s="41">
        <f>B_OSF_18</f>
        <v>8436190000</v>
      </c>
      <c r="F24" s="57">
        <f t="shared" si="8"/>
        <v>0.2458093587</v>
      </c>
      <c r="G24" s="57">
        <f t="shared" si="9"/>
        <v>0.3657511872</v>
      </c>
      <c r="H24" s="57">
        <f t="shared" si="10"/>
        <v>0.3567898183</v>
      </c>
    </row>
    <row r="25" ht="15.75" customHeight="1">
      <c r="A25" s="33" t="str">
        <f>'Balance sheet Company 2'!A25</f>
        <v>TOTAL EQUITY</v>
      </c>
      <c r="B25" s="31">
        <f>B_TEQ_20</f>
        <v>6468289000</v>
      </c>
      <c r="C25" s="31">
        <f>B_TEQ_19</f>
        <v>9956367000</v>
      </c>
      <c r="D25" s="31">
        <f>B_TEQ_18</f>
        <v>8932167000</v>
      </c>
      <c r="E25" s="33"/>
      <c r="F25" s="58">
        <f t="shared" si="8"/>
        <v>0.2662228583</v>
      </c>
      <c r="G25" s="58">
        <f t="shared" si="9"/>
        <v>0.3849263138</v>
      </c>
      <c r="H25" s="58">
        <f t="shared" si="10"/>
        <v>0.377766058</v>
      </c>
    </row>
    <row r="26" ht="15.75" customHeight="1">
      <c r="B26" s="32"/>
      <c r="C26" s="32"/>
      <c r="D26" s="32"/>
      <c r="F26" s="56"/>
      <c r="G26" s="56"/>
      <c r="H26" s="56"/>
    </row>
    <row r="27" ht="15.75" customHeight="1">
      <c r="A27" s="14" t="str">
        <f>'Balance sheet Company 2'!A27</f>
        <v>Long-term liabilities </v>
      </c>
      <c r="B27" s="41">
        <f>B_LTL_20</f>
        <v>2997479000</v>
      </c>
      <c r="C27" s="41">
        <f>B_LTL_19</f>
        <v>7294419000</v>
      </c>
      <c r="D27" s="41">
        <f>B_LTL_18</f>
        <v>5951160000</v>
      </c>
      <c r="F27" s="57">
        <f t="shared" ref="F27:F28" si="11">B27/$B$20</f>
        <v>0.1233707132</v>
      </c>
      <c r="G27" s="57">
        <f t="shared" ref="G27:G28" si="12">C27/$C$20</f>
        <v>0.2820118842</v>
      </c>
      <c r="H27" s="57">
        <f t="shared" ref="H27:H28" si="13">D27/$D$20</f>
        <v>0.2516910234</v>
      </c>
    </row>
    <row r="28" ht="15.75" customHeight="1">
      <c r="A28" s="30" t="str">
        <f>'Balance sheet Company 2'!A28</f>
        <v>Total non-current liabilities</v>
      </c>
      <c r="B28" s="31">
        <f>B_TNCL_20</f>
        <v>2997479000</v>
      </c>
      <c r="C28" s="31">
        <f>B_TNCL_19</f>
        <v>7294419000</v>
      </c>
      <c r="D28" s="31">
        <f>B_TNCL_18</f>
        <v>5951160000</v>
      </c>
      <c r="E28" s="33"/>
      <c r="F28" s="58">
        <f t="shared" si="11"/>
        <v>0.1233707132</v>
      </c>
      <c r="G28" s="58">
        <f t="shared" si="12"/>
        <v>0.2820118842</v>
      </c>
      <c r="H28" s="58">
        <f t="shared" si="13"/>
        <v>0.2516910234</v>
      </c>
    </row>
    <row r="29" ht="15.75" customHeight="1">
      <c r="B29" s="32"/>
      <c r="C29" s="32"/>
      <c r="D29" s="32"/>
      <c r="F29" s="56"/>
      <c r="G29" s="56"/>
      <c r="H29" s="56"/>
    </row>
    <row r="30" ht="15.75" customHeight="1">
      <c r="A30" s="14" t="str">
        <f>'Balance sheet Company 2'!A30</f>
        <v>Accounts payable</v>
      </c>
      <c r="B30" s="32">
        <f>B_AP_20</f>
        <v>5388239000</v>
      </c>
      <c r="C30" s="32">
        <f>B_AP_19</f>
        <v>6141011000</v>
      </c>
      <c r="D30" s="32">
        <f>B_AP_18</f>
        <v>5827116000</v>
      </c>
      <c r="F30" s="56">
        <f t="shared" ref="F30:F32" si="14">B30/$B$20</f>
        <v>0.2217699901</v>
      </c>
      <c r="G30" s="56">
        <f t="shared" ref="G30:G32" si="15">C30/$C$20</f>
        <v>0.2374196057</v>
      </c>
      <c r="H30" s="56">
        <f t="shared" ref="H30:H32" si="16">D30/$D$20</f>
        <v>0.2464448594</v>
      </c>
    </row>
    <row r="31" ht="15.75" customHeight="1">
      <c r="A31" s="14" t="str">
        <f>'Balance sheet Company 2'!A31</f>
        <v>Other current liabilities</v>
      </c>
      <c r="B31" s="41">
        <f>B_OCL_20</f>
        <v>9442513000</v>
      </c>
      <c r="C31" s="41">
        <f>B_OCL_19</f>
        <v>2473847000</v>
      </c>
      <c r="D31" s="41">
        <f>B_OCL_18</f>
        <v>2934262000</v>
      </c>
      <c r="F31" s="57">
        <f t="shared" si="14"/>
        <v>0.3886364385</v>
      </c>
      <c r="G31" s="57">
        <f t="shared" si="15"/>
        <v>0.09564219627</v>
      </c>
      <c r="H31" s="57">
        <f t="shared" si="16"/>
        <v>0.1240980592</v>
      </c>
    </row>
    <row r="32" ht="15.75" customHeight="1">
      <c r="A32" s="30" t="str">
        <f>'Balance sheet Company 2'!A32</f>
        <v>Total current liabilities</v>
      </c>
      <c r="B32" s="31">
        <f>B_TCL_20</f>
        <v>14830752000</v>
      </c>
      <c r="C32" s="31">
        <f>B_TCL_19</f>
        <v>8614858000</v>
      </c>
      <c r="D32" s="31">
        <f>B_TCL_18</f>
        <v>8761378000</v>
      </c>
      <c r="E32" s="33"/>
      <c r="F32" s="58">
        <f t="shared" si="14"/>
        <v>0.6104064286</v>
      </c>
      <c r="G32" s="58">
        <f t="shared" si="15"/>
        <v>0.333061802</v>
      </c>
      <c r="H32" s="58">
        <f t="shared" si="16"/>
        <v>0.3705429186</v>
      </c>
    </row>
    <row r="33" ht="15.75" customHeight="1">
      <c r="B33" s="32"/>
      <c r="C33" s="32"/>
      <c r="D33" s="32"/>
      <c r="F33" s="56"/>
      <c r="G33" s="56"/>
      <c r="H33" s="56"/>
    </row>
    <row r="34" ht="15.75" customHeight="1">
      <c r="A34" s="33" t="str">
        <f>'Balance sheet Company 2'!A34</f>
        <v>TOTAL EQUITY AND LIABILITIES</v>
      </c>
      <c r="B34" s="34">
        <f>B_TEL_20</f>
        <v>24296520000</v>
      </c>
      <c r="C34" s="34">
        <f>B_TEL_19</f>
        <v>25865644000</v>
      </c>
      <c r="D34" s="34">
        <f>B_TEL_18</f>
        <v>23644705000</v>
      </c>
      <c r="E34" s="33"/>
      <c r="F34" s="59">
        <f>B34/$B$20</f>
        <v>1</v>
      </c>
      <c r="G34" s="59">
        <f>C34/$C$20</f>
        <v>1</v>
      </c>
      <c r="H34" s="59">
        <f>D34/$D$20</f>
        <v>1</v>
      </c>
    </row>
    <row r="35" ht="15.75" customHeight="1"/>
    <row r="36" ht="15.75" customHeight="1"/>
    <row r="37" ht="15.75" customHeight="1"/>
    <row r="38" ht="15.75" customHeight="1"/>
    <row r="39" ht="15.75" customHeight="1"/>
    <row r="40" ht="15.75" customHeight="1"/>
    <row r="41" ht="15.75" customHeight="1"/>
    <row r="42" ht="15.75" customHeight="1">
      <c r="B42" s="44" t="s">
        <v>95</v>
      </c>
      <c r="F42" s="44" t="s">
        <v>121</v>
      </c>
    </row>
    <row r="43" ht="15.75" customHeight="1">
      <c r="F43" s="55" t="s">
        <v>123</v>
      </c>
    </row>
    <row r="44" ht="15.75" customHeight="1">
      <c r="A44" s="33"/>
      <c r="B44" s="25">
        <f t="shared" ref="B44:D44" si="17">+B7</f>
        <v>2023</v>
      </c>
      <c r="C44" s="25">
        <f t="shared" si="17"/>
        <v>2022</v>
      </c>
      <c r="D44" s="25">
        <f t="shared" si="17"/>
        <v>2021</v>
      </c>
      <c r="F44" s="25">
        <f t="shared" ref="F44:H44" si="18">+F7</f>
        <v>2023</v>
      </c>
      <c r="G44" s="25">
        <f t="shared" si="18"/>
        <v>2022</v>
      </c>
      <c r="H44" s="25">
        <f t="shared" si="18"/>
        <v>2021</v>
      </c>
    </row>
    <row r="45" ht="15.75" customHeight="1"/>
    <row r="46" ht="15.75" customHeight="1">
      <c r="A46" s="14" t="str">
        <f>'Income statement Company 2'!A9</f>
        <v>Revenue</v>
      </c>
      <c r="B46" s="63">
        <f>B_Sales_20</f>
        <v>13545094000</v>
      </c>
      <c r="C46" s="63">
        <f>B_Sales_19</f>
        <v>24657853000</v>
      </c>
      <c r="D46" s="63">
        <f>B_Sales_18</f>
        <v>15901259000</v>
      </c>
      <c r="F46" s="56">
        <f t="shared" ref="F46:F48" si="19">B46/$B$46</f>
        <v>1</v>
      </c>
      <c r="G46" s="56">
        <f t="shared" ref="G46:G48" si="20">C46/$C$46</f>
        <v>1</v>
      </c>
      <c r="H46" s="56">
        <f t="shared" ref="H46:H48" si="21">D46/$D$46</f>
        <v>1</v>
      </c>
    </row>
    <row r="47" ht="15.75" customHeight="1">
      <c r="A47" s="14" t="str">
        <f>'Income statement Company 2'!A10</f>
        <v>Cost of goods sold (enter positive number)</v>
      </c>
      <c r="B47" s="41">
        <f>B_COGS_20</f>
        <v>13833787000</v>
      </c>
      <c r="C47" s="41">
        <f>B_COGS_19</f>
        <v>20722832000</v>
      </c>
      <c r="D47" s="41">
        <f>B_COGS_18</f>
        <v>12822820000</v>
      </c>
      <c r="F47" s="57">
        <f t="shared" si="19"/>
        <v>1.021313473</v>
      </c>
      <c r="G47" s="57">
        <f t="shared" si="20"/>
        <v>0.8404151002</v>
      </c>
      <c r="H47" s="57">
        <f t="shared" si="21"/>
        <v>0.8064028138</v>
      </c>
    </row>
    <row r="48" ht="15.75" customHeight="1">
      <c r="A48" s="30" t="str">
        <f>'Income statement Company 2'!A11</f>
        <v>Gross profit</v>
      </c>
      <c r="B48" s="31">
        <f>B_GP_20</f>
        <v>-288693000</v>
      </c>
      <c r="C48" s="31">
        <f>B_GP_19</f>
        <v>3935021000</v>
      </c>
      <c r="D48" s="31">
        <f>B_GP_18</f>
        <v>3078439000</v>
      </c>
      <c r="F48" s="58">
        <f t="shared" si="19"/>
        <v>-0.02131347335</v>
      </c>
      <c r="G48" s="58">
        <f t="shared" si="20"/>
        <v>0.1595848998</v>
      </c>
      <c r="H48" s="58">
        <f t="shared" si="21"/>
        <v>0.1935971862</v>
      </c>
    </row>
    <row r="49" ht="15.75" customHeight="1">
      <c r="F49" s="56"/>
      <c r="G49" s="56"/>
      <c r="H49" s="56"/>
    </row>
    <row r="50" ht="15.75" customHeight="1">
      <c r="A50" s="14" t="str">
        <f>'Income statement Company 2'!A13</f>
        <v>Other operating expenses (enter expenses as a negative number)</v>
      </c>
      <c r="B50" s="41">
        <f>B_Opex_20</f>
        <v>-3311529000</v>
      </c>
      <c r="C50" s="41">
        <f>B_Opex_19</f>
        <v>-3069372000</v>
      </c>
      <c r="D50" s="41">
        <f>B_Opex_18</f>
        <v>-2201934000</v>
      </c>
      <c r="F50" s="57">
        <f t="shared" ref="F50:F51" si="22">B50/$B$46</f>
        <v>-0.2444818028</v>
      </c>
      <c r="G50" s="57">
        <f t="shared" ref="G50:G51" si="23">C50/$C$46</f>
        <v>-0.1244784775</v>
      </c>
      <c r="H50" s="57">
        <f t="shared" ref="H50:H51" si="24">D50/$D$46</f>
        <v>-0.1384754503</v>
      </c>
    </row>
    <row r="51" ht="15.75" customHeight="1">
      <c r="A51" s="30" t="str">
        <f>'Income statement Company 2'!A14</f>
        <v>Operating profit (EBIT)</v>
      </c>
      <c r="B51" s="31">
        <f>B_EBIT_20</f>
        <v>-3600222000</v>
      </c>
      <c r="C51" s="31">
        <f>B_EBIT_19</f>
        <v>865649000</v>
      </c>
      <c r="D51" s="31">
        <f>B_EBIT_18</f>
        <v>876505000</v>
      </c>
      <c r="F51" s="58">
        <f t="shared" si="22"/>
        <v>-0.2657952761</v>
      </c>
      <c r="G51" s="58">
        <f t="shared" si="23"/>
        <v>0.03510642228</v>
      </c>
      <c r="H51" s="58">
        <f t="shared" si="24"/>
        <v>0.05512173596</v>
      </c>
    </row>
    <row r="52" ht="15.75" customHeight="1">
      <c r="F52" s="56"/>
      <c r="G52" s="56"/>
      <c r="H52" s="56"/>
    </row>
    <row r="53" ht="15.75" customHeight="1">
      <c r="A53" s="14" t="str">
        <f>'Income statement Company 2'!A16</f>
        <v>Financial expenses (enter expenses as a negative number)</v>
      </c>
      <c r="B53" s="63">
        <f>B_FINEX_20</f>
        <v>-374055000</v>
      </c>
      <c r="C53" s="63">
        <f>B_FINEX_19</f>
        <v>-331140000</v>
      </c>
      <c r="D53" s="63">
        <f>B_FINEX_18</f>
        <v>-220674000</v>
      </c>
      <c r="F53" s="56">
        <f t="shared" ref="F53:F55" si="25">B53/$B$46</f>
        <v>-0.02761553371</v>
      </c>
      <c r="G53" s="56">
        <f t="shared" ref="G53:G55" si="26">C53/$C$46</f>
        <v>-0.01342939306</v>
      </c>
      <c r="H53" s="56">
        <f t="shared" ref="H53:H55" si="27">D53/$D$46</f>
        <v>-0.01387776905</v>
      </c>
    </row>
    <row r="54" ht="15.75" customHeight="1">
      <c r="A54" s="14" t="str">
        <f>'Income statement Company 2'!A17</f>
        <v>Financial income (including share of profit or loss from associates)</v>
      </c>
      <c r="B54" s="41">
        <f>B_FININC_20</f>
        <v>391013000</v>
      </c>
      <c r="C54" s="41">
        <f>B_FININC_19</f>
        <v>154177000</v>
      </c>
      <c r="D54" s="41">
        <f>B_FININC_18</f>
        <v>78054000</v>
      </c>
      <c r="F54" s="57">
        <f t="shared" si="25"/>
        <v>0.02886749992</v>
      </c>
      <c r="G54" s="57">
        <f t="shared" si="26"/>
        <v>0.006252653059</v>
      </c>
      <c r="H54" s="57">
        <f t="shared" si="27"/>
        <v>0.004908667924</v>
      </c>
    </row>
    <row r="55" ht="15.75" customHeight="1">
      <c r="A55" s="30" t="str">
        <f>'Income statement Company 2'!A18</f>
        <v>Net financial income or expense </v>
      </c>
      <c r="B55" s="31">
        <f>B_NETFINEX_20</f>
        <v>16958000</v>
      </c>
      <c r="C55" s="31">
        <f>B_NETFINEX_19</f>
        <v>-176963000</v>
      </c>
      <c r="D55" s="31">
        <f>B_NETFINEX_18</f>
        <v>-142620000</v>
      </c>
      <c r="F55" s="58">
        <f t="shared" si="25"/>
        <v>0.00125196621</v>
      </c>
      <c r="G55" s="58">
        <f t="shared" si="26"/>
        <v>-0.007176740002</v>
      </c>
      <c r="H55" s="58">
        <f t="shared" si="27"/>
        <v>-0.008969101126</v>
      </c>
    </row>
    <row r="56" ht="15.75" customHeight="1">
      <c r="B56" s="64"/>
      <c r="C56" s="64"/>
      <c r="D56" s="64"/>
      <c r="F56" s="60"/>
      <c r="G56" s="60"/>
      <c r="H56" s="60"/>
    </row>
    <row r="57" ht="15.75" customHeight="1">
      <c r="A57" s="30" t="str">
        <f>'Income statement Company 2'!A20</f>
        <v>Profit (loss) before tax</v>
      </c>
      <c r="B57" s="31">
        <f>B_PBT_20</f>
        <v>-3583264000</v>
      </c>
      <c r="C57" s="31">
        <f>B_PBT_19</f>
        <v>688686000</v>
      </c>
      <c r="D57" s="31">
        <f>B_PBT_18</f>
        <v>733885000</v>
      </c>
      <c r="F57" s="58">
        <f>B57/$B$46</f>
        <v>-0.2645433099</v>
      </c>
      <c r="G57" s="58">
        <f>C57/$C$46</f>
        <v>0.02792968228</v>
      </c>
      <c r="H57" s="58">
        <f>D57/$D$46</f>
        <v>0.04615263483</v>
      </c>
    </row>
    <row r="58" ht="15.75" customHeight="1">
      <c r="F58" s="56"/>
      <c r="G58" s="56"/>
      <c r="H58" s="56"/>
    </row>
    <row r="59" ht="15.75" customHeight="1">
      <c r="A59" s="14" t="str">
        <f>'Income statement Company 2'!A22</f>
        <v>Income tax expense (enter expenses as a negative number)</v>
      </c>
      <c r="B59" s="63">
        <f>B_TaxExp_20</f>
        <v>292800000</v>
      </c>
      <c r="C59" s="63">
        <f>B_TaxExp_19</f>
        <v>-104866000</v>
      </c>
      <c r="D59" s="63">
        <f>B_TaxExp_18</f>
        <v>-100198000</v>
      </c>
      <c r="F59" s="56">
        <f>B59/$B$46</f>
        <v>0.02161668276</v>
      </c>
      <c r="G59" s="56">
        <f>C59/$C$46</f>
        <v>-0.004252843911</v>
      </c>
      <c r="H59" s="56">
        <f>D59/$D$46</f>
        <v>-0.006301262057</v>
      </c>
    </row>
    <row r="60" ht="15.75" customHeight="1">
      <c r="B60" s="65"/>
      <c r="C60" s="65"/>
      <c r="D60" s="65"/>
      <c r="F60" s="57"/>
      <c r="G60" s="57"/>
      <c r="H60" s="57"/>
    </row>
    <row r="61" ht="15.75" customHeight="1">
      <c r="A61" s="30" t="str">
        <f>'Income statement Company 2'!A24</f>
        <v>Net profit</v>
      </c>
      <c r="B61" s="34">
        <f>B_NP_20</f>
        <v>-3290464000</v>
      </c>
      <c r="C61" s="34">
        <f>B_NP_19</f>
        <v>583820000</v>
      </c>
      <c r="D61" s="34">
        <f>B_NP_18</f>
        <v>633687000</v>
      </c>
      <c r="F61" s="59">
        <f>B61/$B$46</f>
        <v>-0.2429266272</v>
      </c>
      <c r="G61" s="59">
        <f>C61/$C$46</f>
        <v>0.02367683837</v>
      </c>
      <c r="H61" s="59">
        <f>D61/$D$46</f>
        <v>0.03985137277</v>
      </c>
    </row>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F42:H42"/>
    <mergeCell ref="F43:H43"/>
    <mergeCell ref="B1:H1"/>
    <mergeCell ref="B3:H3"/>
    <mergeCell ref="B5:D5"/>
    <mergeCell ref="F5:H5"/>
    <mergeCell ref="B6:D6"/>
    <mergeCell ref="F6:H6"/>
    <mergeCell ref="B42:D42"/>
  </mergeCells>
  <printOptions/>
  <pageMargins bottom="0.75" footer="0.0" header="0.0" left="0.7" right="0.7" top="0.75"/>
  <pageSetup paperSize="9" scale="50"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52.86"/>
    <col customWidth="1" min="2" max="7" width="16.86"/>
    <col customWidth="1" min="8" max="26" width="8.86"/>
  </cols>
  <sheetData>
    <row r="1">
      <c r="A1" s="18" t="s">
        <v>91</v>
      </c>
      <c r="B1" s="61" t="str">
        <f>'Balance sheet Company 1'!B1</f>
        <v>ALSO Holding AG</v>
      </c>
      <c r="C1" s="20"/>
      <c r="D1" s="20"/>
      <c r="E1" s="20"/>
      <c r="F1" s="20"/>
      <c r="G1" s="21"/>
    </row>
    <row r="2">
      <c r="A2" s="18"/>
      <c r="B2" s="62"/>
      <c r="C2" s="62"/>
      <c r="D2" s="62"/>
      <c r="E2" s="62"/>
      <c r="F2" s="62"/>
      <c r="G2" s="62"/>
    </row>
    <row r="3">
      <c r="A3" s="18" t="s">
        <v>65</v>
      </c>
      <c r="B3" s="61">
        <f>AssignNo</f>
        <v>30</v>
      </c>
      <c r="C3" s="20"/>
      <c r="D3" s="20"/>
      <c r="E3" s="20"/>
      <c r="F3" s="20"/>
      <c r="G3" s="21"/>
    </row>
    <row r="5">
      <c r="B5" s="44" t="s">
        <v>67</v>
      </c>
      <c r="F5" s="44" t="s">
        <v>124</v>
      </c>
    </row>
    <row r="6">
      <c r="B6" s="54"/>
      <c r="F6" s="55"/>
    </row>
    <row r="7">
      <c r="A7" s="33"/>
      <c r="B7" s="25">
        <v>2023.0</v>
      </c>
      <c r="C7" s="25">
        <v>2022.0</v>
      </c>
      <c r="D7" s="25">
        <v>2021.0</v>
      </c>
      <c r="F7" s="25">
        <v>2023.0</v>
      </c>
      <c r="G7" s="25">
        <v>2022.0</v>
      </c>
    </row>
    <row r="9">
      <c r="A9" s="14" t="str">
        <f>'Balance sheet Company 1'!A9</f>
        <v>Intangible fixed assets</v>
      </c>
      <c r="B9" s="32">
        <f>A_IFA_20</f>
        <v>242947000</v>
      </c>
      <c r="C9" s="32">
        <f>A_IFA_19</f>
        <v>226175000</v>
      </c>
      <c r="D9" s="32">
        <f>A_IFA_18</f>
        <v>207180000</v>
      </c>
      <c r="F9" s="56">
        <f t="shared" ref="F9:G9" si="1">(B9/C9)-1</f>
        <v>0.0741549685</v>
      </c>
      <c r="G9" s="56">
        <f t="shared" si="1"/>
        <v>0.09168356019</v>
      </c>
    </row>
    <row r="10">
      <c r="A10" s="14" t="str">
        <f>'Balance sheet Company 1'!A10</f>
        <v>Tangible fixed assets</v>
      </c>
      <c r="B10" s="32">
        <f>A_TFA_20</f>
        <v>145569000</v>
      </c>
      <c r="C10" s="32">
        <f>A_TFA_19</f>
        <v>139325000</v>
      </c>
      <c r="D10" s="32">
        <f>A_TFA_18</f>
        <v>144206000</v>
      </c>
      <c r="F10" s="56">
        <f t="shared" ref="F10:G10" si="2">(B10/C10)-1</f>
        <v>0.04481607752</v>
      </c>
      <c r="G10" s="56">
        <f t="shared" si="2"/>
        <v>-0.03384741273</v>
      </c>
    </row>
    <row r="11">
      <c r="A11" s="14" t="str">
        <f>'Balance sheet Company 1'!A11</f>
        <v>Other fixed assets</v>
      </c>
      <c r="B11" s="41">
        <f>A_OFA_20</f>
        <v>75690000</v>
      </c>
      <c r="C11" s="41">
        <f>A_OFA_19</f>
        <v>82975000</v>
      </c>
      <c r="D11" s="41">
        <f>A_OFA_18</f>
        <v>41514000</v>
      </c>
      <c r="F11" s="57">
        <f t="shared" ref="F11:G11" si="3">(B11/C11)-1</f>
        <v>-0.08779752938</v>
      </c>
      <c r="G11" s="57">
        <f t="shared" si="3"/>
        <v>0.9987233223</v>
      </c>
    </row>
    <row r="12">
      <c r="A12" s="30" t="str">
        <f>'Balance sheet Company 1'!A12</f>
        <v>Total fixed assets</v>
      </c>
      <c r="B12" s="31">
        <f>A_TotFA_20</f>
        <v>464206000</v>
      </c>
      <c r="C12" s="31">
        <f>A_TotFA_19</f>
        <v>448475000</v>
      </c>
      <c r="D12" s="31">
        <f>A_TotFA_18</f>
        <v>392900000</v>
      </c>
      <c r="E12" s="33"/>
      <c r="F12" s="58">
        <f t="shared" ref="F12:G12" si="4">(B12/C12)-1</f>
        <v>0.03507664864</v>
      </c>
      <c r="G12" s="58">
        <f t="shared" si="4"/>
        <v>0.1414482057</v>
      </c>
    </row>
    <row r="13">
      <c r="B13" s="32"/>
      <c r="C13" s="32"/>
      <c r="D13" s="32"/>
      <c r="F13" s="56"/>
      <c r="G13" s="56"/>
    </row>
    <row r="14">
      <c r="A14" s="14" t="str">
        <f>'Balance sheet Company 1'!A14</f>
        <v>Inventory</v>
      </c>
      <c r="B14" s="32">
        <f>A_INV_20</f>
        <v>767194000</v>
      </c>
      <c r="C14" s="32">
        <f>A_INV_19</f>
        <v>981396000</v>
      </c>
      <c r="D14" s="32">
        <f>A_INV_18</f>
        <v>910018000</v>
      </c>
      <c r="F14" s="56">
        <f t="shared" ref="F14:G14" si="5">(B14/C14)-1</f>
        <v>-0.2182625566</v>
      </c>
      <c r="G14" s="56">
        <f t="shared" si="5"/>
        <v>0.07843581116</v>
      </c>
    </row>
    <row r="15">
      <c r="A15" s="14" t="str">
        <f>'Balance sheet Company 1'!A15</f>
        <v>Accounts receivable</v>
      </c>
      <c r="B15" s="32">
        <f>A_AR_20</f>
        <v>722066000</v>
      </c>
      <c r="C15" s="32">
        <f>A_AR_19</f>
        <v>803251000</v>
      </c>
      <c r="D15" s="32">
        <f>A_AR_18</f>
        <v>691874000</v>
      </c>
      <c r="F15" s="56">
        <f t="shared" ref="F15:G15" si="6">(B15/C15)-1</f>
        <v>-0.1010705247</v>
      </c>
      <c r="G15" s="56">
        <f t="shared" si="6"/>
        <v>0.1609787331</v>
      </c>
    </row>
    <row r="16">
      <c r="A16" s="14" t="str">
        <f>'Balance sheet Company 1'!A16</f>
        <v>Cash and cash equivalents</v>
      </c>
      <c r="B16" s="32">
        <f>A_Cash_20</f>
        <v>665369000</v>
      </c>
      <c r="C16" s="32">
        <f>A_Cash_19</f>
        <v>478718000</v>
      </c>
      <c r="D16" s="32">
        <f>A_Cash_18</f>
        <v>617245000</v>
      </c>
      <c r="F16" s="56">
        <f t="shared" ref="F16:G16" si="7">(B16/C16)-1</f>
        <v>0.3898976015</v>
      </c>
      <c r="G16" s="56">
        <f t="shared" si="7"/>
        <v>-0.2244279014</v>
      </c>
    </row>
    <row r="17">
      <c r="A17" s="14" t="str">
        <f>'Balance sheet Company 1'!A17</f>
        <v>Other current assets</v>
      </c>
      <c r="B17" s="41">
        <f>A_OCA_20</f>
        <v>611038000</v>
      </c>
      <c r="C17" s="41">
        <f>A_OCA_19</f>
        <v>441677000</v>
      </c>
      <c r="D17" s="41">
        <f>A_OCA_18</f>
        <v>472465000</v>
      </c>
      <c r="F17" s="57">
        <f t="shared" ref="F17:G17" si="8">(B17/C17)-1</f>
        <v>0.3834498966</v>
      </c>
      <c r="G17" s="57">
        <f t="shared" si="8"/>
        <v>-0.06516461537</v>
      </c>
    </row>
    <row r="18">
      <c r="A18" s="30" t="str">
        <f>'Balance sheet Company 1'!A18</f>
        <v>Total current assets</v>
      </c>
      <c r="B18" s="31">
        <f>A_TCA_20</f>
        <v>2765667000</v>
      </c>
      <c r="C18" s="31">
        <f>A_TCA_19</f>
        <v>2705042000</v>
      </c>
      <c r="D18" s="31">
        <f>A_TCA_18</f>
        <v>2691602000</v>
      </c>
      <c r="E18" s="33"/>
      <c r="F18" s="58">
        <f t="shared" ref="F18:G18" si="9">(B18/C18)-1</f>
        <v>0.02241185165</v>
      </c>
      <c r="G18" s="58">
        <f t="shared" si="9"/>
        <v>0.004993308818</v>
      </c>
    </row>
    <row r="19">
      <c r="B19" s="32"/>
      <c r="C19" s="32"/>
      <c r="D19" s="32"/>
      <c r="F19" s="56"/>
      <c r="G19" s="56"/>
    </row>
    <row r="20">
      <c r="A20" s="33" t="str">
        <f>'Balance sheet Company 1'!A20</f>
        <v>TOTAL ASSETS</v>
      </c>
      <c r="B20" s="34">
        <f>A_TA_20</f>
        <v>3229873000</v>
      </c>
      <c r="C20" s="34">
        <f>A_TA_19</f>
        <v>3153517000</v>
      </c>
      <c r="D20" s="34">
        <f>A_TA_18</f>
        <v>3084502000</v>
      </c>
      <c r="E20" s="33"/>
      <c r="F20" s="59">
        <f t="shared" ref="F20:G20" si="10">(B20/C20)-1</f>
        <v>0.02421296603</v>
      </c>
      <c r="G20" s="59">
        <f t="shared" si="10"/>
        <v>0.0223747626</v>
      </c>
    </row>
    <row r="21" ht="15.75" customHeight="1">
      <c r="B21" s="32"/>
      <c r="C21" s="32"/>
      <c r="D21" s="32"/>
      <c r="F21" s="56"/>
      <c r="G21" s="56"/>
    </row>
    <row r="22" ht="15.75" customHeight="1">
      <c r="B22" s="32"/>
      <c r="C22" s="32"/>
      <c r="D22" s="32"/>
      <c r="F22" s="56"/>
      <c r="G22" s="56"/>
    </row>
    <row r="23" ht="15.75" customHeight="1">
      <c r="A23" s="14" t="str">
        <f>'Balance sheet Company 1'!A23</f>
        <v>Issued share capital</v>
      </c>
      <c r="B23" s="32">
        <f>A_ISC_20</f>
        <v>1043806000</v>
      </c>
      <c r="C23" s="32">
        <f>A_ISC_19</f>
        <v>1039578000</v>
      </c>
      <c r="D23" s="32">
        <f>A_ISC_18</f>
        <v>948971000</v>
      </c>
      <c r="F23" s="56">
        <f t="shared" ref="F23:G23" si="11">(B23/C23)-1</f>
        <v>0.004067034893</v>
      </c>
      <c r="G23" s="56">
        <f t="shared" si="11"/>
        <v>0.09547920853</v>
      </c>
    </row>
    <row r="24" ht="15.75" customHeight="1">
      <c r="A24" s="14" t="str">
        <f>'Balance sheet Company 1'!A24</f>
        <v>Other equity</v>
      </c>
      <c r="B24" s="41">
        <f>A_OSF_20</f>
        <v>1277000</v>
      </c>
      <c r="C24" s="41">
        <f>A_OSF_19</f>
        <v>835000</v>
      </c>
      <c r="D24" s="41">
        <f>A_OSF_18</f>
        <v>528000</v>
      </c>
      <c r="F24" s="57">
        <f t="shared" ref="F24:G24" si="12">(B24/C24)-1</f>
        <v>0.5293413174</v>
      </c>
      <c r="G24" s="57">
        <f t="shared" si="12"/>
        <v>0.5814393939</v>
      </c>
    </row>
    <row r="25" ht="15.75" customHeight="1">
      <c r="A25" s="33" t="str">
        <f>'Balance sheet Company 1'!A25</f>
        <v>TOTAL EQUITY</v>
      </c>
      <c r="B25" s="31">
        <f>A_TEQ_20</f>
        <v>1045083000</v>
      </c>
      <c r="C25" s="31">
        <f>A_TEQ_19</f>
        <v>1040413000</v>
      </c>
      <c r="D25" s="31">
        <f>A_TEQ_18</f>
        <v>949499000</v>
      </c>
      <c r="E25" s="33"/>
      <c r="F25" s="58">
        <f t="shared" ref="F25:G25" si="13">(B25/C25)-1</f>
        <v>0.004488602122</v>
      </c>
      <c r="G25" s="58">
        <f t="shared" si="13"/>
        <v>0.0957494426</v>
      </c>
    </row>
    <row r="26" ht="15.75" customHeight="1">
      <c r="B26" s="32"/>
      <c r="C26" s="32"/>
      <c r="D26" s="32"/>
      <c r="F26" s="56"/>
      <c r="G26" s="56"/>
    </row>
    <row r="27" ht="15.75" customHeight="1">
      <c r="A27" s="14" t="str">
        <f>'Balance sheet Company 1'!A27</f>
        <v>Long-term liabilities</v>
      </c>
      <c r="B27" s="41">
        <f>A_LTL_20</f>
        <v>163080000</v>
      </c>
      <c r="C27" s="41">
        <f>A_LTL_19</f>
        <v>281974000</v>
      </c>
      <c r="D27" s="41">
        <f>A_LTL_18</f>
        <v>280842000</v>
      </c>
      <c r="F27" s="57">
        <f t="shared" ref="F27:G27" si="14">(B27/C27)-1</f>
        <v>-0.4216488045</v>
      </c>
      <c r="G27" s="57">
        <f t="shared" si="14"/>
        <v>0.004030736143</v>
      </c>
    </row>
    <row r="28" ht="15.75" customHeight="1">
      <c r="A28" s="30" t="str">
        <f>'Balance sheet Company 1'!A28</f>
        <v>Total non-current liabilities</v>
      </c>
      <c r="B28" s="31">
        <f>A_TNCL_20</f>
        <v>163080000</v>
      </c>
      <c r="C28" s="31">
        <f>A_TNCL_19</f>
        <v>281974000</v>
      </c>
      <c r="D28" s="31">
        <f>A_TNCL_18</f>
        <v>280842000</v>
      </c>
      <c r="E28" s="33"/>
      <c r="F28" s="58">
        <f t="shared" ref="F28:G28" si="15">(B28/C28)-1</f>
        <v>-0.4216488045</v>
      </c>
      <c r="G28" s="58">
        <f t="shared" si="15"/>
        <v>0.004030736143</v>
      </c>
    </row>
    <row r="29" ht="15.75" customHeight="1">
      <c r="B29" s="32"/>
      <c r="C29" s="32"/>
      <c r="D29" s="32"/>
      <c r="F29" s="56"/>
      <c r="G29" s="56"/>
    </row>
    <row r="30" ht="15.75" customHeight="1">
      <c r="A30" s="14" t="str">
        <f>'Balance sheet Company 1'!A30</f>
        <v>Accounts payable</v>
      </c>
      <c r="B30" s="32">
        <f>A_AP_20</f>
        <v>1467407000</v>
      </c>
      <c r="C30" s="32">
        <f>A_AP_19</f>
        <v>1407804000</v>
      </c>
      <c r="D30" s="32">
        <f>A_AP_18</f>
        <v>1423567000</v>
      </c>
      <c r="F30" s="56">
        <f t="shared" ref="F30:G30" si="16">(B30/C30)-1</f>
        <v>0.04233756972</v>
      </c>
      <c r="G30" s="56">
        <f t="shared" si="16"/>
        <v>-0.01107288944</v>
      </c>
    </row>
    <row r="31" ht="15.75" customHeight="1">
      <c r="A31" s="14" t="str">
        <f>'Balance sheet Company 1'!A31</f>
        <v>Other current liabilities</v>
      </c>
      <c r="B31" s="41">
        <f>A_OCL_20</f>
        <v>554303000</v>
      </c>
      <c r="C31" s="41">
        <f>A_OCL_19</f>
        <v>423326000</v>
      </c>
      <c r="D31" s="41">
        <f>A_OCL_18</f>
        <v>430594000</v>
      </c>
      <c r="F31" s="57">
        <f t="shared" ref="F31:G31" si="17">(B31/C31)-1</f>
        <v>0.3093998479</v>
      </c>
      <c r="G31" s="57">
        <f t="shared" si="17"/>
        <v>-0.016879009</v>
      </c>
    </row>
    <row r="32" ht="15.75" customHeight="1">
      <c r="A32" s="30" t="str">
        <f>'Balance sheet Company 1'!A32</f>
        <v>Total current liabilities</v>
      </c>
      <c r="B32" s="31">
        <f>A_TCL_20</f>
        <v>2021710000</v>
      </c>
      <c r="C32" s="31">
        <f>A_TCL_19</f>
        <v>1831130000</v>
      </c>
      <c r="D32" s="31">
        <f>A_TCL_18</f>
        <v>1854161000</v>
      </c>
      <c r="E32" s="33"/>
      <c r="F32" s="58">
        <f t="shared" ref="F32:G32" si="18">(B32/C32)-1</f>
        <v>0.1040778099</v>
      </c>
      <c r="G32" s="58">
        <f t="shared" si="18"/>
        <v>-0.01242125144</v>
      </c>
    </row>
    <row r="33" ht="15.75" customHeight="1">
      <c r="B33" s="32"/>
      <c r="C33" s="32"/>
      <c r="D33" s="32"/>
      <c r="F33" s="56"/>
      <c r="G33" s="56"/>
    </row>
    <row r="34" ht="15.75" customHeight="1">
      <c r="A34" s="33" t="str">
        <f>'Balance sheet Company 1'!A34</f>
        <v>TOTAL EQUITY AND LIABILITIES</v>
      </c>
      <c r="B34" s="34">
        <f>A_TEL_20</f>
        <v>3229873000</v>
      </c>
      <c r="C34" s="34">
        <f>A_TEL_19</f>
        <v>3153517000</v>
      </c>
      <c r="D34" s="34">
        <f>A_TEL_18</f>
        <v>3084502000</v>
      </c>
      <c r="E34" s="33"/>
      <c r="F34" s="59">
        <f t="shared" ref="F34:G34" si="19">(B34/C34)-1</f>
        <v>0.02421296603</v>
      </c>
      <c r="G34" s="59">
        <f t="shared" si="19"/>
        <v>0.0223747626</v>
      </c>
    </row>
    <row r="35" ht="15.75" customHeight="1"/>
    <row r="36" ht="15.75" customHeight="1"/>
    <row r="37" ht="15.75" customHeight="1"/>
    <row r="38" ht="15.75" customHeight="1"/>
    <row r="39" ht="15.75" customHeight="1"/>
    <row r="40" ht="15.75" customHeight="1"/>
    <row r="41" ht="15.75" customHeight="1"/>
    <row r="42" ht="15.75" customHeight="1">
      <c r="B42" s="44" t="s">
        <v>95</v>
      </c>
      <c r="F42" s="44" t="s">
        <v>124</v>
      </c>
    </row>
    <row r="43" ht="15.75" customHeight="1">
      <c r="F43" s="55"/>
    </row>
    <row r="44" ht="15.75" customHeight="1">
      <c r="A44" s="33"/>
      <c r="B44" s="25">
        <v>2023.0</v>
      </c>
      <c r="C44" s="25">
        <v>2022.0</v>
      </c>
      <c r="D44" s="25">
        <v>2021.0</v>
      </c>
      <c r="F44" s="25">
        <v>2023.0</v>
      </c>
      <c r="G44" s="25">
        <v>2022.0</v>
      </c>
    </row>
    <row r="45" ht="15.75" customHeight="1"/>
    <row r="46" ht="15.75" customHeight="1">
      <c r="A46" s="14" t="str">
        <f>'Income statement Company 1'!A9</f>
        <v>Revenue</v>
      </c>
      <c r="B46" s="63">
        <f>A_Sales_20</f>
        <v>9959628000</v>
      </c>
      <c r="C46" s="63">
        <f>A_Sales_19</f>
        <v>11552876000</v>
      </c>
      <c r="D46" s="63">
        <f>A_Sales_18</f>
        <v>12394388000</v>
      </c>
      <c r="F46" s="56">
        <f t="shared" ref="F46:G46" si="20">(B46/C46)-1</f>
        <v>-0.1379092098</v>
      </c>
      <c r="G46" s="56">
        <f t="shared" si="20"/>
        <v>-0.06789459875</v>
      </c>
    </row>
    <row r="47" ht="15.75" customHeight="1">
      <c r="A47" s="14" t="str">
        <f>'Income statement Company 1'!A10</f>
        <v>Cost of goods sold (enter positive number)</v>
      </c>
      <c r="B47" s="41">
        <f>A_COGS_20</f>
        <v>9264618000</v>
      </c>
      <c r="C47" s="41">
        <f>A_COGS_19</f>
        <v>10839468000</v>
      </c>
      <c r="D47" s="41">
        <f>A_COGS_18</f>
        <v>11710962000</v>
      </c>
      <c r="F47" s="57">
        <f t="shared" ref="F47:G47" si="21">(B47/C47)-1</f>
        <v>-0.1452884957</v>
      </c>
      <c r="G47" s="57">
        <f t="shared" si="21"/>
        <v>-0.07441694371</v>
      </c>
    </row>
    <row r="48" ht="15.75" customHeight="1">
      <c r="A48" s="30" t="str">
        <f>'Income statement Company 1'!A11</f>
        <v>Gross profit</v>
      </c>
      <c r="B48" s="31">
        <f>A_GP_20</f>
        <v>695010000</v>
      </c>
      <c r="C48" s="31">
        <f>A_GP_19</f>
        <v>713408000</v>
      </c>
      <c r="D48" s="31">
        <f>A_GP_18</f>
        <v>683426000</v>
      </c>
      <c r="F48" s="58">
        <f t="shared" ref="F48:G48" si="22">(B48/C48)-1</f>
        <v>-0.02578888939</v>
      </c>
      <c r="G48" s="58">
        <f t="shared" si="22"/>
        <v>0.04387014834</v>
      </c>
    </row>
    <row r="49" ht="15.75" customHeight="1">
      <c r="F49" s="56"/>
      <c r="G49" s="56"/>
    </row>
    <row r="50" ht="15.75" customHeight="1">
      <c r="A50" s="14" t="str">
        <f>'Income statement Company 1'!A13</f>
        <v>Other operating expenses (enter expenses as a negative number)</v>
      </c>
      <c r="B50" s="41">
        <f>A_Opex_20</f>
        <v>-492306000</v>
      </c>
      <c r="C50" s="41">
        <f>A_Opex_19</f>
        <v>-476577000</v>
      </c>
      <c r="D50" s="41">
        <f>A_Opex_18</f>
        <v>-465866000</v>
      </c>
      <c r="F50" s="57">
        <f t="shared" ref="F50:G50" si="23">(B50/C50)-1</f>
        <v>0.03300411056</v>
      </c>
      <c r="G50" s="57">
        <f t="shared" si="23"/>
        <v>0.02299158986</v>
      </c>
    </row>
    <row r="51" ht="15.75" customHeight="1">
      <c r="A51" s="30" t="str">
        <f>'Income statement Company 1'!A14</f>
        <v>Operating profit (EBIT)</v>
      </c>
      <c r="B51" s="31">
        <f>A_EBIT_20</f>
        <v>202704000</v>
      </c>
      <c r="C51" s="31">
        <f>A_EBIT_19</f>
        <v>236831000</v>
      </c>
      <c r="D51" s="31">
        <f>A_EBIT_18</f>
        <v>217560000</v>
      </c>
      <c r="F51" s="58">
        <f t="shared" ref="F51:G51" si="24">(B51/C51)-1</f>
        <v>-0.1440985344</v>
      </c>
      <c r="G51" s="58">
        <f t="shared" si="24"/>
        <v>0.08857786358</v>
      </c>
    </row>
    <row r="52" ht="15.75" customHeight="1">
      <c r="F52" s="56"/>
      <c r="G52" s="56"/>
    </row>
    <row r="53" ht="15.75" customHeight="1">
      <c r="A53" s="14" t="str">
        <f>'Income statement Company 1'!A16</f>
        <v>Financial expenses (enter expenses as a negative number)</v>
      </c>
      <c r="B53" s="63">
        <f>A_FINEX_20</f>
        <v>-40789000</v>
      </c>
      <c r="C53" s="63">
        <f>A_FINEX_19</f>
        <v>-32922000</v>
      </c>
      <c r="D53" s="63">
        <f>A_FINEX_18</f>
        <v>-21811000</v>
      </c>
      <c r="F53" s="56">
        <f t="shared" ref="F53:G53" si="25">(B53/C53)-1</f>
        <v>0.238958751</v>
      </c>
      <c r="G53" s="56">
        <f t="shared" si="25"/>
        <v>0.5094218514</v>
      </c>
    </row>
    <row r="54" ht="15.75" customHeight="1">
      <c r="A54" s="14" t="str">
        <f>'Income statement Company 1'!A17</f>
        <v>Financial income (including share of profit or loss from associates)</v>
      </c>
      <c r="B54" s="41">
        <f>A_FININC_20</f>
        <v>12608000</v>
      </c>
      <c r="C54" s="41">
        <f>A_FININC_19</f>
        <v>4032000</v>
      </c>
      <c r="D54" s="41">
        <f>A_FININC_18</f>
        <v>5341000</v>
      </c>
      <c r="F54" s="57">
        <f t="shared" ref="F54:G54" si="26">(B54/C54)-1</f>
        <v>2.126984127</v>
      </c>
      <c r="G54" s="57">
        <f t="shared" si="26"/>
        <v>-0.24508519</v>
      </c>
    </row>
    <row r="55" ht="15.75" customHeight="1">
      <c r="A55" s="30" t="str">
        <f>'Income statement Company 1'!A18</f>
        <v>Net financial income or expense </v>
      </c>
      <c r="B55" s="31">
        <f>A_NETFINEX_20</f>
        <v>-28181000</v>
      </c>
      <c r="C55" s="31">
        <f>A_NETFINEX_19</f>
        <v>-28890000</v>
      </c>
      <c r="D55" s="31">
        <f>A_NETFINEX_18</f>
        <v>-16470000</v>
      </c>
      <c r="F55" s="58">
        <f t="shared" ref="F55:G55" si="27">(B55/C55)-1</f>
        <v>-0.02454136379</v>
      </c>
      <c r="G55" s="58">
        <f t="shared" si="27"/>
        <v>0.7540983607</v>
      </c>
    </row>
    <row r="56" ht="15.75" customHeight="1">
      <c r="B56" s="64"/>
      <c r="C56" s="64"/>
      <c r="D56" s="64"/>
      <c r="F56" s="60"/>
      <c r="G56" s="60"/>
    </row>
    <row r="57" ht="15.75" customHeight="1">
      <c r="A57" s="30" t="str">
        <f>'Income statement Company 1'!A20</f>
        <v>Profit (loss) before tax</v>
      </c>
      <c r="B57" s="31">
        <f>A_PBT_20</f>
        <v>174523000</v>
      </c>
      <c r="C57" s="31">
        <f>A_PBT_19</f>
        <v>207941000</v>
      </c>
      <c r="D57" s="31">
        <f>A_PBT_18</f>
        <v>201090000</v>
      </c>
      <c r="F57" s="58">
        <f t="shared" ref="F57:G57" si="28">(B57/C57)-1</f>
        <v>-0.1607090473</v>
      </c>
      <c r="G57" s="58">
        <f t="shared" si="28"/>
        <v>0.03406932219</v>
      </c>
    </row>
    <row r="58" ht="15.75" customHeight="1">
      <c r="F58" s="56"/>
      <c r="G58" s="56"/>
    </row>
    <row r="59" ht="15.75" customHeight="1">
      <c r="A59" s="14" t="str">
        <f>'Income statement Company 1'!A22</f>
        <v>Income tax expense (enter expenses as a negative number)</v>
      </c>
      <c r="B59" s="63">
        <f>A_TaxExp_20</f>
        <v>-50418000</v>
      </c>
      <c r="C59" s="63">
        <f>A_TaxExp_19</f>
        <v>-55574000</v>
      </c>
      <c r="D59" s="63">
        <f>A_TaxExp_18</f>
        <v>-46893000</v>
      </c>
      <c r="F59" s="56">
        <f t="shared" ref="F59:G59" si="29">(B59/C59)-1</f>
        <v>-0.09277719797</v>
      </c>
      <c r="G59" s="56">
        <f t="shared" si="29"/>
        <v>0.1851235792</v>
      </c>
    </row>
    <row r="60" ht="15.75" customHeight="1">
      <c r="B60" s="65"/>
      <c r="C60" s="65"/>
      <c r="D60" s="65"/>
      <c r="F60" s="57"/>
      <c r="G60" s="57"/>
    </row>
    <row r="61" ht="15.75" customHeight="1">
      <c r="A61" s="30" t="str">
        <f>'Income statement Company 1'!A24</f>
        <v>Net profit</v>
      </c>
      <c r="B61" s="34">
        <f>A_NP_20</f>
        <v>124105000</v>
      </c>
      <c r="C61" s="34">
        <f>A_NP_19</f>
        <v>152367000</v>
      </c>
      <c r="D61" s="34">
        <f>A_NP_18</f>
        <v>154197000</v>
      </c>
      <c r="F61" s="59">
        <f t="shared" ref="F61:G61" si="30">(B61/C61)-1</f>
        <v>-0.1854863586</v>
      </c>
      <c r="G61" s="59">
        <f t="shared" si="30"/>
        <v>-0.01186793517</v>
      </c>
    </row>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F42:G42"/>
    <mergeCell ref="F43:G43"/>
    <mergeCell ref="B1:G1"/>
    <mergeCell ref="B3:G3"/>
    <mergeCell ref="B5:D5"/>
    <mergeCell ref="F5:G5"/>
    <mergeCell ref="B6:D6"/>
    <mergeCell ref="F6:G6"/>
    <mergeCell ref="B42:D42"/>
  </mergeCells>
  <printOptions/>
  <pageMargins bottom="0.75" footer="0.0" header="0.0" left="0.7" right="0.7" top="0.75"/>
  <pageSetup paperSize="9" scale="56"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2.29"/>
    <col customWidth="1" min="2" max="7" width="16.86"/>
    <col customWidth="1" min="8" max="26" width="8.86"/>
  </cols>
  <sheetData>
    <row r="1">
      <c r="A1" s="18" t="s">
        <v>91</v>
      </c>
      <c r="B1" s="61" t="str">
        <f>B_Company</f>
        <v>GRUPA AZOTY S.A</v>
      </c>
      <c r="C1" s="20"/>
      <c r="D1" s="20"/>
      <c r="E1" s="20"/>
      <c r="F1" s="20"/>
      <c r="G1" s="21"/>
    </row>
    <row r="2">
      <c r="A2" s="18"/>
      <c r="B2" s="62"/>
      <c r="C2" s="62"/>
      <c r="D2" s="62"/>
      <c r="E2" s="62"/>
      <c r="F2" s="62"/>
      <c r="G2" s="62"/>
    </row>
    <row r="3">
      <c r="A3" s="18" t="s">
        <v>65</v>
      </c>
      <c r="B3" s="61">
        <f>AssignNo</f>
        <v>30</v>
      </c>
      <c r="C3" s="20"/>
      <c r="D3" s="20"/>
      <c r="E3" s="20"/>
      <c r="F3" s="20"/>
      <c r="G3" s="21"/>
    </row>
    <row r="5">
      <c r="B5" s="44" t="s">
        <v>67</v>
      </c>
      <c r="F5" s="44" t="s">
        <v>124</v>
      </c>
    </row>
    <row r="6">
      <c r="B6" s="54"/>
      <c r="F6" s="55"/>
    </row>
    <row r="7">
      <c r="A7" s="33"/>
      <c r="B7" s="25">
        <v>2023.0</v>
      </c>
      <c r="C7" s="25">
        <v>2022.0</v>
      </c>
      <c r="D7" s="25">
        <v>2021.0</v>
      </c>
      <c r="F7" s="25">
        <v>2023.0</v>
      </c>
      <c r="G7" s="25">
        <v>2022.0</v>
      </c>
    </row>
    <row r="9">
      <c r="A9" s="14" t="str">
        <f>'Balance sheet Company 2'!A9</f>
        <v>Intangible fixed assets</v>
      </c>
      <c r="B9" s="32">
        <f>B_IFA_20</f>
        <v>1935281000</v>
      </c>
      <c r="C9" s="32">
        <f>B_IFA_19</f>
        <v>2035213000</v>
      </c>
      <c r="D9" s="32">
        <f>B_IFA_18</f>
        <v>2123399000</v>
      </c>
      <c r="F9" s="56">
        <f t="shared" ref="F9:G9" si="1">(B9/C9)-1</f>
        <v>-0.04910149454</v>
      </c>
      <c r="G9" s="56">
        <f t="shared" si="1"/>
        <v>-0.04153058375</v>
      </c>
    </row>
    <row r="10">
      <c r="A10" s="14" t="str">
        <f>'Balance sheet Company 2'!A10</f>
        <v>Tangible fixed assets</v>
      </c>
      <c r="B10" s="32">
        <f>B_TFA_20</f>
        <v>13747762000</v>
      </c>
      <c r="C10" s="32">
        <f>B_TFA_19</f>
        <v>13458775000</v>
      </c>
      <c r="D10" s="32">
        <f>B_TFA_18</f>
        <v>12025731000</v>
      </c>
      <c r="F10" s="56">
        <f t="shared" ref="F10:G10" si="2">(B10/C10)-1</f>
        <v>0.02147201361</v>
      </c>
      <c r="G10" s="56">
        <f t="shared" si="2"/>
        <v>0.1191648142</v>
      </c>
    </row>
    <row r="11">
      <c r="A11" s="14" t="str">
        <f>'Balance sheet Company 2'!A11</f>
        <v>Other fixed assets</v>
      </c>
      <c r="B11" s="41">
        <f>B_OFA_20</f>
        <v>1582073000</v>
      </c>
      <c r="C11" s="41">
        <f>B_OFA_19</f>
        <v>1454765000</v>
      </c>
      <c r="D11" s="41">
        <f>B_OFA_18</f>
        <v>756706000</v>
      </c>
      <c r="F11" s="57">
        <f t="shared" ref="F11:G11" si="3">(B11/C11)-1</f>
        <v>0.0875110413</v>
      </c>
      <c r="G11" s="57">
        <f t="shared" si="3"/>
        <v>0.9224969803</v>
      </c>
    </row>
    <row r="12">
      <c r="A12" s="30" t="str">
        <f>'Balance sheet Company 2'!A12</f>
        <v>Total fixed assets</v>
      </c>
      <c r="B12" s="31">
        <f>B_TotFA_20</f>
        <v>17265116000</v>
      </c>
      <c r="C12" s="31">
        <f>B_TotFA_19</f>
        <v>16948753000</v>
      </c>
      <c r="D12" s="31">
        <f>B_TotFA_18</f>
        <v>14905836000</v>
      </c>
      <c r="E12" s="33"/>
      <c r="F12" s="58">
        <f t="shared" ref="F12:G12" si="4">(B12/C12)-1</f>
        <v>0.01866585701</v>
      </c>
      <c r="G12" s="58">
        <f t="shared" si="4"/>
        <v>0.1370548421</v>
      </c>
    </row>
    <row r="13">
      <c r="B13" s="32"/>
      <c r="C13" s="32"/>
      <c r="D13" s="32"/>
      <c r="F13" s="56"/>
      <c r="G13" s="56"/>
    </row>
    <row r="14">
      <c r="A14" s="14" t="str">
        <f>'Balance sheet Company 2'!A14</f>
        <v>Inventory</v>
      </c>
      <c r="B14" s="32">
        <f>B_INV_20</f>
        <v>2469246000</v>
      </c>
      <c r="C14" s="32">
        <f>B_INV_19</f>
        <v>3444385000</v>
      </c>
      <c r="D14" s="32">
        <f>B_INV_18</f>
        <v>2313143000</v>
      </c>
      <c r="F14" s="56">
        <f t="shared" ref="F14:G14" si="5">(B14/C14)-1</f>
        <v>-0.2831097569</v>
      </c>
      <c r="G14" s="56">
        <f t="shared" si="5"/>
        <v>0.4890497475</v>
      </c>
    </row>
    <row r="15">
      <c r="A15" s="14" t="str">
        <f>'Balance sheet Company 2'!A15</f>
        <v>Accounts receivable</v>
      </c>
      <c r="B15" s="32">
        <f>B_AR_20</f>
        <v>1432699000</v>
      </c>
      <c r="C15" s="32">
        <f>B_AR_19</f>
        <v>2026024000</v>
      </c>
      <c r="D15" s="32">
        <f>B_AR_18</f>
        <v>2453579000</v>
      </c>
      <c r="F15" s="56">
        <f t="shared" ref="F15:G15" si="6">(B15/C15)-1</f>
        <v>-0.2928519109</v>
      </c>
      <c r="G15" s="56">
        <f t="shared" si="6"/>
        <v>-0.1742576864</v>
      </c>
    </row>
    <row r="16">
      <c r="A16" s="14" t="str">
        <f>'Balance sheet Company 2'!A16</f>
        <v>Cash and cash equivalents</v>
      </c>
      <c r="B16" s="32">
        <f>B_Cash_20</f>
        <v>1012355000</v>
      </c>
      <c r="C16" s="32">
        <f>B_Cash_19</f>
        <v>1376541000</v>
      </c>
      <c r="D16" s="32">
        <f>B_Cash_18</f>
        <v>2362193000</v>
      </c>
      <c r="F16" s="56">
        <f t="shared" ref="F16:G16" si="7">(B16/C16)-1</f>
        <v>-0.2645660391</v>
      </c>
      <c r="G16" s="56">
        <f t="shared" si="7"/>
        <v>-0.4172614177</v>
      </c>
    </row>
    <row r="17">
      <c r="A17" s="14" t="str">
        <f>'Balance sheet Company 2'!A17</f>
        <v>Other current assets</v>
      </c>
      <c r="B17" s="41">
        <f>B_OCA_20</f>
        <v>2117104000</v>
      </c>
      <c r="C17" s="41">
        <f>B_OCA_19</f>
        <v>2069941000</v>
      </c>
      <c r="D17" s="41">
        <f>B_OCA_18</f>
        <v>1609954000</v>
      </c>
      <c r="F17" s="57">
        <f t="shared" ref="F17:G17" si="8">(B17/C17)-1</f>
        <v>0.02278470739</v>
      </c>
      <c r="G17" s="57">
        <f t="shared" si="8"/>
        <v>0.2857143744</v>
      </c>
    </row>
    <row r="18">
      <c r="A18" s="30" t="str">
        <f>'Balance sheet Company 2'!A18</f>
        <v>Total current assets</v>
      </c>
      <c r="B18" s="31">
        <f>B_TCA_20</f>
        <v>7031404000</v>
      </c>
      <c r="C18" s="31">
        <f>B_TCA_19</f>
        <v>8916891000</v>
      </c>
      <c r="D18" s="31">
        <f>B_TCA_18</f>
        <v>8738869000</v>
      </c>
      <c r="E18" s="33"/>
      <c r="F18" s="58">
        <f t="shared" ref="F18:G18" si="9">(B18/C18)-1</f>
        <v>-0.2114511661</v>
      </c>
      <c r="G18" s="58">
        <f t="shared" si="9"/>
        <v>0.02037128603</v>
      </c>
    </row>
    <row r="19">
      <c r="B19" s="32"/>
      <c r="C19" s="32"/>
      <c r="D19" s="32"/>
      <c r="F19" s="56"/>
      <c r="G19" s="56"/>
    </row>
    <row r="20">
      <c r="A20" s="33" t="str">
        <f>'Balance sheet Company 2'!A20</f>
        <v>TOTAL ASSETS</v>
      </c>
      <c r="B20" s="34">
        <f>B_TA_20</f>
        <v>24296520000</v>
      </c>
      <c r="C20" s="34">
        <f>B_TA_19</f>
        <v>25865644000</v>
      </c>
      <c r="D20" s="34">
        <f>B_TA_18</f>
        <v>23644705000</v>
      </c>
      <c r="E20" s="33"/>
      <c r="F20" s="59">
        <f t="shared" ref="F20:G20" si="10">(B20/C20)-1</f>
        <v>-0.06066440874</v>
      </c>
      <c r="G20" s="59">
        <f t="shared" si="10"/>
        <v>0.09392965571</v>
      </c>
    </row>
    <row r="21" ht="15.75" customHeight="1">
      <c r="B21" s="32"/>
      <c r="C21" s="32"/>
      <c r="D21" s="32"/>
      <c r="F21" s="56"/>
      <c r="G21" s="56"/>
    </row>
    <row r="22" ht="15.75" customHeight="1">
      <c r="B22" s="32"/>
      <c r="C22" s="32"/>
      <c r="D22" s="32"/>
      <c r="F22" s="56"/>
      <c r="G22" s="56"/>
    </row>
    <row r="23" ht="15.75" customHeight="1">
      <c r="A23" s="14" t="str">
        <f>'Balance sheet Company 2'!A23</f>
        <v>Issued share capital</v>
      </c>
      <c r="B23" s="32">
        <f>B_ISC_20</f>
        <v>495977000</v>
      </c>
      <c r="C23" s="32">
        <f>B_ISC_19</f>
        <v>495977000</v>
      </c>
      <c r="D23" s="32">
        <f>B_ISC_18</f>
        <v>495977000</v>
      </c>
      <c r="F23" s="56">
        <f t="shared" ref="F23:G23" si="11">(B23/C23)-1</f>
        <v>0</v>
      </c>
      <c r="G23" s="56">
        <f t="shared" si="11"/>
        <v>0</v>
      </c>
    </row>
    <row r="24" ht="15.75" customHeight="1">
      <c r="A24" s="14" t="str">
        <f>'Balance sheet Company 2'!A24</f>
        <v>Other equity</v>
      </c>
      <c r="B24" s="41">
        <f>B_OSF_20</f>
        <v>5972312000</v>
      </c>
      <c r="C24" s="41">
        <f>B_OSF_19</f>
        <v>9460390000</v>
      </c>
      <c r="D24" s="41">
        <f>B_OSF_18</f>
        <v>8436190000</v>
      </c>
      <c r="F24" s="57">
        <f t="shared" ref="F24:G24" si="12">(B24/C24)-1</f>
        <v>-0.3687034044</v>
      </c>
      <c r="G24" s="57">
        <f t="shared" si="12"/>
        <v>0.121405516</v>
      </c>
    </row>
    <row r="25" ht="15.75" customHeight="1">
      <c r="A25" s="33" t="str">
        <f>'Balance sheet Company 2'!A25</f>
        <v>TOTAL EQUITY</v>
      </c>
      <c r="B25" s="31">
        <f>B_TEQ_20</f>
        <v>6468289000</v>
      </c>
      <c r="C25" s="31">
        <f>B_TEQ_19</f>
        <v>9956367000</v>
      </c>
      <c r="D25" s="31">
        <f>B_TEQ_18</f>
        <v>8932167000</v>
      </c>
      <c r="E25" s="33"/>
      <c r="F25" s="58">
        <f t="shared" ref="F25:G25" si="13">(B25/C25)-1</f>
        <v>-0.3503364229</v>
      </c>
      <c r="G25" s="58">
        <f t="shared" si="13"/>
        <v>0.1146642243</v>
      </c>
    </row>
    <row r="26" ht="15.75" customHeight="1">
      <c r="B26" s="32"/>
      <c r="C26" s="32"/>
      <c r="D26" s="32"/>
      <c r="F26" s="56"/>
      <c r="G26" s="56"/>
    </row>
    <row r="27" ht="15.75" customHeight="1">
      <c r="A27" s="14" t="str">
        <f>'Balance sheet Company 2'!A27</f>
        <v>Long-term liabilities </v>
      </c>
      <c r="B27" s="41">
        <f>B_LTL_20</f>
        <v>2997479000</v>
      </c>
      <c r="C27" s="41">
        <f>B_LTL_19</f>
        <v>7294419000</v>
      </c>
      <c r="D27" s="41">
        <f>B_LTL_18</f>
        <v>5951160000</v>
      </c>
      <c r="F27" s="57">
        <f t="shared" ref="F27:G27" si="14">(B27/C27)-1</f>
        <v>-0.5890722757</v>
      </c>
      <c r="G27" s="57">
        <f t="shared" si="14"/>
        <v>0.2257138104</v>
      </c>
    </row>
    <row r="28" ht="15.75" customHeight="1">
      <c r="A28" s="30" t="str">
        <f>'Balance sheet Company 2'!A28</f>
        <v>Total non-current liabilities</v>
      </c>
      <c r="B28" s="31">
        <f>B_TNCL_20</f>
        <v>2997479000</v>
      </c>
      <c r="C28" s="31">
        <f>B_TNCL_19</f>
        <v>7294419000</v>
      </c>
      <c r="D28" s="31">
        <f>B_TNCL_18</f>
        <v>5951160000</v>
      </c>
      <c r="E28" s="33"/>
      <c r="F28" s="58">
        <f t="shared" ref="F28:G28" si="15">(B28/C28)-1</f>
        <v>-0.5890722757</v>
      </c>
      <c r="G28" s="58">
        <f t="shared" si="15"/>
        <v>0.2257138104</v>
      </c>
    </row>
    <row r="29" ht="15.75" customHeight="1">
      <c r="B29" s="32"/>
      <c r="C29" s="32"/>
      <c r="D29" s="32"/>
      <c r="F29" s="56"/>
      <c r="G29" s="56"/>
    </row>
    <row r="30" ht="15.75" customHeight="1">
      <c r="A30" s="14" t="str">
        <f>'Balance sheet Company 2'!A30</f>
        <v>Accounts payable</v>
      </c>
      <c r="B30" s="32">
        <f>B_AP_20</f>
        <v>5388239000</v>
      </c>
      <c r="C30" s="32">
        <f>B_AP_19</f>
        <v>6141011000</v>
      </c>
      <c r="D30" s="32">
        <f>B_AP_18</f>
        <v>5827116000</v>
      </c>
      <c r="F30" s="56">
        <f t="shared" ref="F30:G30" si="16">(B30/C30)-1</f>
        <v>-0.122581119</v>
      </c>
      <c r="G30" s="56">
        <f t="shared" si="16"/>
        <v>0.05386798547</v>
      </c>
    </row>
    <row r="31" ht="15.75" customHeight="1">
      <c r="A31" s="14" t="str">
        <f>'Balance sheet Company 2'!A31</f>
        <v>Other current liabilities</v>
      </c>
      <c r="B31" s="41">
        <f>B_OCL_20</f>
        <v>9442513000</v>
      </c>
      <c r="C31" s="41">
        <f>B_OCL_19</f>
        <v>2473847000</v>
      </c>
      <c r="D31" s="41">
        <f>B_OCL_18</f>
        <v>2934262000</v>
      </c>
      <c r="F31" s="57">
        <f t="shared" ref="F31:G31" si="17">(B31/C31)-1</f>
        <v>2.81693492</v>
      </c>
      <c r="G31" s="57">
        <f t="shared" si="17"/>
        <v>-0.1569099828</v>
      </c>
    </row>
    <row r="32" ht="15.75" customHeight="1">
      <c r="A32" s="30" t="str">
        <f>'Balance sheet Company 2'!A32</f>
        <v>Total current liabilities</v>
      </c>
      <c r="B32" s="31">
        <f>B_TCL_20</f>
        <v>14830752000</v>
      </c>
      <c r="C32" s="31">
        <f>B_TCL_19</f>
        <v>8614858000</v>
      </c>
      <c r="D32" s="31">
        <f>B_TCL_18</f>
        <v>8761378000</v>
      </c>
      <c r="E32" s="33"/>
      <c r="F32" s="58">
        <f t="shared" ref="F32:G32" si="18">(B32/C32)-1</f>
        <v>0.7215318001</v>
      </c>
      <c r="G32" s="58">
        <f t="shared" si="18"/>
        <v>-0.01672339671</v>
      </c>
    </row>
    <row r="33" ht="15.75" customHeight="1">
      <c r="B33" s="32"/>
      <c r="C33" s="32"/>
      <c r="D33" s="32"/>
      <c r="F33" s="56"/>
      <c r="G33" s="56"/>
    </row>
    <row r="34" ht="15.75" customHeight="1">
      <c r="A34" s="33" t="str">
        <f>'Balance sheet Company 2'!A34</f>
        <v>TOTAL EQUITY AND LIABILITIES</v>
      </c>
      <c r="B34" s="34">
        <f>B_TEL_20</f>
        <v>24296520000</v>
      </c>
      <c r="C34" s="34">
        <f>B_TEL_19</f>
        <v>25865644000</v>
      </c>
      <c r="D34" s="34">
        <f>B_TEL_18</f>
        <v>23644705000</v>
      </c>
      <c r="E34" s="33"/>
      <c r="F34" s="59">
        <f t="shared" ref="F34:G34" si="19">(B34/C34)-1</f>
        <v>-0.06066440874</v>
      </c>
      <c r="G34" s="59">
        <f t="shared" si="19"/>
        <v>0.09392965571</v>
      </c>
    </row>
    <row r="35" ht="15.75" customHeight="1"/>
    <row r="36" ht="15.75" customHeight="1"/>
    <row r="37" ht="15.75" customHeight="1"/>
    <row r="38" ht="15.75" customHeight="1"/>
    <row r="39" ht="15.75" customHeight="1"/>
    <row r="40" ht="15.75" customHeight="1"/>
    <row r="41" ht="15.75" customHeight="1"/>
    <row r="42" ht="15.75" customHeight="1">
      <c r="B42" s="44" t="s">
        <v>95</v>
      </c>
      <c r="F42" s="44" t="s">
        <v>124</v>
      </c>
    </row>
    <row r="43" ht="15.75" customHeight="1">
      <c r="F43" s="55"/>
    </row>
    <row r="44" ht="15.75" customHeight="1">
      <c r="A44" s="33"/>
      <c r="B44" s="25">
        <v>2023.0</v>
      </c>
      <c r="C44" s="25">
        <v>2022.0</v>
      </c>
      <c r="D44" s="25">
        <v>2021.0</v>
      </c>
      <c r="F44" s="25">
        <v>2023.0</v>
      </c>
      <c r="G44" s="25">
        <v>2022.0</v>
      </c>
    </row>
    <row r="45" ht="15.75" customHeight="1"/>
    <row r="46" ht="15.75" customHeight="1">
      <c r="A46" s="14" t="str">
        <f>'Income statement Company 2'!A9</f>
        <v>Revenue</v>
      </c>
      <c r="B46" s="32">
        <f>B_Sales_20</f>
        <v>13545094000</v>
      </c>
      <c r="C46" s="32">
        <f>B_Sales_19</f>
        <v>24657853000</v>
      </c>
      <c r="D46" s="32">
        <f>B_Sales_18</f>
        <v>15901259000</v>
      </c>
      <c r="F46" s="56">
        <f t="shared" ref="F46:G46" si="20">(B46/C46)-1</f>
        <v>-0.450678289</v>
      </c>
      <c r="G46" s="56">
        <f t="shared" si="20"/>
        <v>0.5506855778</v>
      </c>
    </row>
    <row r="47" ht="15.75" customHeight="1">
      <c r="A47" s="14" t="str">
        <f>'Income statement Company 2'!A10</f>
        <v>Cost of goods sold (enter positive number)</v>
      </c>
      <c r="B47" s="41">
        <f>B_COGS_20</f>
        <v>13833787000</v>
      </c>
      <c r="C47" s="41">
        <f>B_COGS_19</f>
        <v>20722832000</v>
      </c>
      <c r="D47" s="41">
        <f>B_COGS_18</f>
        <v>12822820000</v>
      </c>
      <c r="F47" s="57">
        <f t="shared" ref="F47:G47" si="21">(B47/C47)-1</f>
        <v>-0.3324374294</v>
      </c>
      <c r="G47" s="57">
        <f t="shared" si="21"/>
        <v>0.6160900644</v>
      </c>
    </row>
    <row r="48" ht="15.75" customHeight="1">
      <c r="A48" s="30" t="str">
        <f>'Income statement Company 2'!A11</f>
        <v>Gross profit</v>
      </c>
      <c r="B48" s="31">
        <f>B_GP_20</f>
        <v>-288693000</v>
      </c>
      <c r="C48" s="31">
        <f>B_GP_19</f>
        <v>3935021000</v>
      </c>
      <c r="D48" s="31">
        <f>B_GP_18</f>
        <v>3078439000</v>
      </c>
      <c r="F48" s="58">
        <f t="shared" ref="F48:G48" si="22">(B48/C48)-1</f>
        <v>-1.073365047</v>
      </c>
      <c r="G48" s="58">
        <f t="shared" si="22"/>
        <v>0.2782520622</v>
      </c>
    </row>
    <row r="49" ht="15.75" customHeight="1">
      <c r="B49" s="32"/>
      <c r="C49" s="32"/>
      <c r="D49" s="32"/>
      <c r="F49" s="56"/>
      <c r="G49" s="56"/>
    </row>
    <row r="50" ht="15.75" customHeight="1">
      <c r="A50" s="14" t="str">
        <f>'Income statement Company 2'!A13</f>
        <v>Other operating expenses (enter expenses as a negative number)</v>
      </c>
      <c r="B50" s="41">
        <f>B_Opex_20</f>
        <v>-3311529000</v>
      </c>
      <c r="C50" s="41">
        <f>B_Opex_19</f>
        <v>-3069372000</v>
      </c>
      <c r="D50" s="41">
        <f>B_Opex_18</f>
        <v>-2201934000</v>
      </c>
      <c r="F50" s="57">
        <f t="shared" ref="F50:G50" si="23">(B50/C50)-1</f>
        <v>0.07889464034</v>
      </c>
      <c r="G50" s="57">
        <f t="shared" si="23"/>
        <v>0.3939436877</v>
      </c>
    </row>
    <row r="51" ht="15.75" customHeight="1">
      <c r="A51" s="30" t="str">
        <f>'Income statement Company 2'!A14</f>
        <v>Operating profit (EBIT)</v>
      </c>
      <c r="B51" s="31">
        <f>B_EBIT_20</f>
        <v>-3600222000</v>
      </c>
      <c r="C51" s="31">
        <f>B_EBIT_19</f>
        <v>865649000</v>
      </c>
      <c r="D51" s="31">
        <f>B_EBIT_18</f>
        <v>876505000</v>
      </c>
      <c r="F51" s="58">
        <f t="shared" ref="F51:G51" si="24">(B51/C51)-1</f>
        <v>-5.158985917</v>
      </c>
      <c r="G51" s="58">
        <f t="shared" si="24"/>
        <v>-0.01238555399</v>
      </c>
    </row>
    <row r="52" ht="15.75" customHeight="1">
      <c r="B52" s="32"/>
      <c r="C52" s="32"/>
      <c r="D52" s="32"/>
      <c r="F52" s="56"/>
      <c r="G52" s="56"/>
    </row>
    <row r="53" ht="15.75" customHeight="1">
      <c r="A53" s="14" t="str">
        <f>'Income statement Company 2'!A16</f>
        <v>Financial expenses (enter expenses as a negative number)</v>
      </c>
      <c r="B53" s="32">
        <f>B_FINEX_20</f>
        <v>-374055000</v>
      </c>
      <c r="C53" s="32">
        <f>B_FINEX_19</f>
        <v>-331140000</v>
      </c>
      <c r="D53" s="32">
        <f>B_FINEX_18</f>
        <v>-220674000</v>
      </c>
      <c r="F53" s="56">
        <f t="shared" ref="F53:G53" si="25">(B53/C53)-1</f>
        <v>0.1295977532</v>
      </c>
      <c r="G53" s="56">
        <f t="shared" si="25"/>
        <v>0.5005845727</v>
      </c>
    </row>
    <row r="54" ht="15.75" customHeight="1">
      <c r="A54" s="14" t="str">
        <f>'Income statement Company 2'!A17</f>
        <v>Financial income (including share of profit or loss from associates)</v>
      </c>
      <c r="B54" s="41">
        <f>B_FININC_20</f>
        <v>391013000</v>
      </c>
      <c r="C54" s="41">
        <f>B_FININC_19</f>
        <v>154177000</v>
      </c>
      <c r="D54" s="41">
        <f>B_FININC_18</f>
        <v>78054000</v>
      </c>
      <c r="F54" s="57">
        <f t="shared" ref="F54:G54" si="26">(B54/C54)-1</f>
        <v>1.536130551</v>
      </c>
      <c r="G54" s="57">
        <f t="shared" si="26"/>
        <v>0.9752607169</v>
      </c>
    </row>
    <row r="55" ht="15.75" customHeight="1">
      <c r="A55" s="30" t="str">
        <f>'Income statement Company 2'!A18</f>
        <v>Net financial income or expense </v>
      </c>
      <c r="B55" s="31">
        <f>B_NETFINEX_20</f>
        <v>16958000</v>
      </c>
      <c r="C55" s="31">
        <f>B_NETFINEX_19</f>
        <v>-176963000</v>
      </c>
      <c r="D55" s="31">
        <f>B_NETFINEX_18</f>
        <v>-142620000</v>
      </c>
      <c r="F55" s="58">
        <f t="shared" ref="F55:G55" si="27">(B55/C55)-1</f>
        <v>-1.095827941</v>
      </c>
      <c r="G55" s="58">
        <f t="shared" si="27"/>
        <v>0.2408007292</v>
      </c>
    </row>
    <row r="56" ht="15.75" customHeight="1">
      <c r="B56" s="45"/>
      <c r="C56" s="45"/>
      <c r="D56" s="45"/>
      <c r="F56" s="60"/>
      <c r="G56" s="60"/>
    </row>
    <row r="57" ht="15.75" customHeight="1">
      <c r="A57" s="30" t="str">
        <f>'Income statement Company 2'!A20</f>
        <v>Profit (loss) before tax</v>
      </c>
      <c r="B57" s="31">
        <f>B_PBT_20</f>
        <v>-3583264000</v>
      </c>
      <c r="C57" s="31">
        <f>B_PBT_19</f>
        <v>688686000</v>
      </c>
      <c r="D57" s="31">
        <f>B_PBT_18</f>
        <v>733885000</v>
      </c>
      <c r="F57" s="58">
        <f t="shared" ref="F57:G57" si="28">(B57/C57)-1</f>
        <v>-6.203044639</v>
      </c>
      <c r="G57" s="58">
        <f t="shared" si="28"/>
        <v>-0.06158866852</v>
      </c>
    </row>
    <row r="58" ht="15.75" customHeight="1">
      <c r="B58" s="32"/>
      <c r="C58" s="32"/>
      <c r="D58" s="32"/>
      <c r="F58" s="56"/>
      <c r="G58" s="56"/>
    </row>
    <row r="59" ht="15.75" customHeight="1">
      <c r="A59" s="14" t="str">
        <f>'Income statement Company 2'!A22</f>
        <v>Income tax expense (enter expenses as a negative number)</v>
      </c>
      <c r="B59" s="32">
        <f>B_TaxExp_20</f>
        <v>292800000</v>
      </c>
      <c r="C59" s="32">
        <f>B_TaxExp_19</f>
        <v>-104866000</v>
      </c>
      <c r="D59" s="32">
        <f>B_TaxExp_18</f>
        <v>-100198000</v>
      </c>
      <c r="F59" s="56">
        <f t="shared" ref="F59:G59" si="29">(B59/C59)-1</f>
        <v>-3.792134724</v>
      </c>
      <c r="G59" s="56">
        <f t="shared" si="29"/>
        <v>0.04658775624</v>
      </c>
    </row>
    <row r="60" ht="15.75" customHeight="1">
      <c r="B60" s="41"/>
      <c r="C60" s="41"/>
      <c r="D60" s="41"/>
      <c r="F60" s="57"/>
      <c r="G60" s="57"/>
    </row>
    <row r="61" ht="15.75" customHeight="1">
      <c r="A61" s="30" t="str">
        <f>'Income statement Company 2'!A24</f>
        <v>Net profit</v>
      </c>
      <c r="B61" s="34">
        <f>B_NP_20</f>
        <v>-3290464000</v>
      </c>
      <c r="C61" s="34">
        <f>B_NP_19</f>
        <v>583820000</v>
      </c>
      <c r="D61" s="34">
        <f>B_NP_18</f>
        <v>633687000</v>
      </c>
      <c r="F61" s="59">
        <f t="shared" ref="F61:G61" si="30">(B61/C61)-1</f>
        <v>-6.636093316</v>
      </c>
      <c r="G61" s="59">
        <f t="shared" si="30"/>
        <v>-0.07869342436</v>
      </c>
    </row>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F42:G42"/>
    <mergeCell ref="F43:G43"/>
    <mergeCell ref="B1:G1"/>
    <mergeCell ref="B3:G3"/>
    <mergeCell ref="B5:D5"/>
    <mergeCell ref="F5:G5"/>
    <mergeCell ref="B6:D6"/>
    <mergeCell ref="F6:G6"/>
    <mergeCell ref="B42:D42"/>
  </mergeCells>
  <printOptions/>
  <pageMargins bottom="0.75" footer="0.0" header="0.0" left="0.7" right="0.7" top="0.75"/>
  <pageSetup paperSize="9" scale="56"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86"/>
    <col customWidth="1" min="2" max="3" width="16.86"/>
    <col customWidth="1" min="4" max="26" width="8.86"/>
  </cols>
  <sheetData>
    <row r="1">
      <c r="A1" s="18" t="s">
        <v>91</v>
      </c>
      <c r="B1" s="61" t="str">
        <f>A_Company</f>
        <v>ALSO Holding AG</v>
      </c>
      <c r="C1" s="21"/>
    </row>
    <row r="2">
      <c r="A2" s="18"/>
      <c r="B2" s="62"/>
      <c r="C2" s="66"/>
    </row>
    <row r="3">
      <c r="A3" s="18" t="s">
        <v>65</v>
      </c>
      <c r="B3" s="61">
        <f>AssignNo</f>
        <v>30</v>
      </c>
      <c r="C3" s="21"/>
    </row>
    <row r="5">
      <c r="B5" s="44" t="s">
        <v>125</v>
      </c>
    </row>
    <row r="7">
      <c r="A7" s="33" t="s">
        <v>126</v>
      </c>
      <c r="B7" s="25">
        <v>2023.0</v>
      </c>
      <c r="C7" s="25">
        <v>2022.0</v>
      </c>
    </row>
    <row r="9">
      <c r="A9" s="14" t="s">
        <v>127</v>
      </c>
      <c r="B9" s="56">
        <f>A_NP_20/((A_TEQ_20+A_TEQ_19)/2)</f>
        <v>0.1190172506</v>
      </c>
      <c r="C9" s="56">
        <f>A_NP_19/((A_TEQ_19+A_TEQ_18)/2)</f>
        <v>0.1531394353</v>
      </c>
      <c r="D9" s="53"/>
    </row>
    <row r="10">
      <c r="A10" s="14" t="s">
        <v>128</v>
      </c>
      <c r="B10" s="56">
        <f>A_EWI_20/((A_TA_20+A_TA_19)/2)</f>
        <v>0.02719027507</v>
      </c>
      <c r="C10" s="56">
        <f>A_EWI_19/((A_TA_19+A_TA_18)/2)</f>
        <v>0.03919300983</v>
      </c>
    </row>
    <row r="11">
      <c r="A11" s="14" t="s">
        <v>129</v>
      </c>
      <c r="B11" s="56">
        <f>A_ROE_20-A_ROA_20</f>
        <v>0.0918269755</v>
      </c>
      <c r="C11" s="56">
        <f>A_ROE_19-A_ROA_19</f>
        <v>0.1139464255</v>
      </c>
    </row>
    <row r="12">
      <c r="A12" s="14" t="s">
        <v>130</v>
      </c>
      <c r="B12" s="32">
        <f>A_NP_20+(A_FINEX_20*(1-A_StatTax_20))</f>
        <v>86783065</v>
      </c>
      <c r="C12" s="32">
        <f>A_NP_19+(A_FINEX_19*(1-A_StatTax_19))</f>
        <v>122243370</v>
      </c>
    </row>
    <row r="13">
      <c r="A13" s="14" t="s">
        <v>131</v>
      </c>
      <c r="B13" s="56">
        <f>(A_GP_20/A_Sales_20)</f>
        <v>0.06978272682</v>
      </c>
      <c r="C13" s="56">
        <f>(A_GP_19/A_Sales_19)</f>
        <v>0.06175155</v>
      </c>
    </row>
    <row r="14">
      <c r="A14" s="14" t="s">
        <v>132</v>
      </c>
      <c r="B14" s="56">
        <f>A_EWI_20/A_Sales_20</f>
        <v>0.00871348458</v>
      </c>
      <c r="C14" s="56">
        <f>A_EWI_19/A_Sales_19</f>
        <v>0.01058120679</v>
      </c>
    </row>
    <row r="15">
      <c r="B15" s="56"/>
      <c r="C15" s="56"/>
      <c r="D15" s="53"/>
    </row>
    <row r="17">
      <c r="A17" s="33" t="s">
        <v>133</v>
      </c>
      <c r="B17" s="25">
        <f t="shared" ref="B17:C17" si="1">+B7</f>
        <v>2023</v>
      </c>
      <c r="C17" s="25">
        <f t="shared" si="1"/>
        <v>2022</v>
      </c>
    </row>
    <row r="19">
      <c r="A19" s="14" t="s">
        <v>134</v>
      </c>
      <c r="B19" s="67">
        <f>A_Sales_20/((A_AR_20+A_AR_19)/2)</f>
        <v>13.05909263</v>
      </c>
      <c r="C19" s="67">
        <f>A_Sales_19/((A_AR_19+A_AR_18)/2)</f>
        <v>15.45406036</v>
      </c>
    </row>
    <row r="20">
      <c r="A20" s="14" t="s">
        <v>135</v>
      </c>
      <c r="B20" s="67">
        <f>365/A_ART_20</f>
        <v>27.94987448</v>
      </c>
      <c r="C20" s="67">
        <f>365/A_ART_19</f>
        <v>23.6183884</v>
      </c>
    </row>
    <row r="21" ht="15.75" customHeight="1">
      <c r="A21" s="14" t="s">
        <v>136</v>
      </c>
      <c r="B21" s="67">
        <f>A_COGS_20/((A_INV_20+A_INV_19)/2)</f>
        <v>10.59667275</v>
      </c>
      <c r="C21" s="67">
        <f>A_COGS_19/((A_INV_19+A_INV_18)/2)</f>
        <v>11.46176141</v>
      </c>
    </row>
    <row r="22" ht="15.75" customHeight="1">
      <c r="A22" s="14" t="s">
        <v>137</v>
      </c>
      <c r="B22" s="67">
        <f>365/A_IT_20</f>
        <v>34.44477419</v>
      </c>
      <c r="C22" s="67">
        <f>365/A_IT_19</f>
        <v>31.84501813</v>
      </c>
    </row>
    <row r="23" ht="15.75" customHeight="1">
      <c r="A23" s="14" t="s">
        <v>138</v>
      </c>
      <c r="B23" s="67">
        <f>A_Sales_20/((A_TA_20+A_TA_19)/2)</f>
        <v>3.120482377</v>
      </c>
      <c r="C23" s="67">
        <f>A_Sales_19/((A_TA_19+A_TA_18)/2)</f>
        <v>3.70402078</v>
      </c>
    </row>
    <row r="24" ht="15.75" customHeight="1">
      <c r="A24" s="33"/>
    </row>
    <row r="25" ht="15.75" customHeight="1"/>
    <row r="26" ht="15.75" customHeight="1">
      <c r="A26" s="33" t="s">
        <v>139</v>
      </c>
      <c r="B26" s="25">
        <f t="shared" ref="B26:C26" si="2">+B17</f>
        <v>2023</v>
      </c>
      <c r="C26" s="25">
        <f t="shared" si="2"/>
        <v>2022</v>
      </c>
    </row>
    <row r="27" ht="15.75" customHeight="1"/>
    <row r="28" ht="15.75" customHeight="1">
      <c r="A28" s="14" t="s">
        <v>140</v>
      </c>
      <c r="B28" s="67">
        <f>A_TCA_20/A_TCL_20</f>
        <v>1.367984033</v>
      </c>
      <c r="C28" s="67">
        <f>A_TCA_19/A_TCL_19</f>
        <v>1.477252844</v>
      </c>
    </row>
    <row r="29" ht="15.75" customHeight="1">
      <c r="A29" s="14" t="s">
        <v>141</v>
      </c>
      <c r="B29" s="67">
        <f>(A_Cash_20+A_AR_20)/A_TCL_20</f>
        <v>0.6862680602</v>
      </c>
      <c r="C29" s="67">
        <f>(A_Cash_19+A_AR_19)/A_TCL_19</f>
        <v>0.7000972077</v>
      </c>
    </row>
    <row r="30" ht="15.75" customHeight="1">
      <c r="A30" s="14" t="s">
        <v>142</v>
      </c>
      <c r="B30" s="67">
        <f>(A_TCL_20+A_TNCL_20)/A_TEQ_20</f>
        <v>2.090542091</v>
      </c>
      <c r="C30" s="67">
        <f>(A_TCL_19+A_TNCL_19)/A_TEQ_19</f>
        <v>2.031024218</v>
      </c>
    </row>
    <row r="31" ht="15.75" customHeight="1">
      <c r="A31" s="14" t="s">
        <v>143</v>
      </c>
      <c r="B31" s="67">
        <f>A_EBIT_20/(A_FINEX_20*-1)</f>
        <v>4.969575131</v>
      </c>
      <c r="C31" s="67">
        <f>A_EBIT_20/(A_FINEX_19*-1)</f>
        <v>6.157098597</v>
      </c>
    </row>
    <row r="32" ht="15.75" customHeight="1">
      <c r="A32" s="33"/>
    </row>
    <row r="33" ht="15.75" customHeight="1">
      <c r="A33" s="33"/>
    </row>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1:C1"/>
    <mergeCell ref="B3:C3"/>
    <mergeCell ref="B5:C5"/>
  </mergeCells>
  <printOptions/>
  <pageMargins bottom="0.75" footer="0.0" header="0.0" left="0.7" right="0.7" top="0.75"/>
  <pageSetup paperSize="9" scale="85" orientation="portrait"/>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86"/>
    <col customWidth="1" min="2" max="2" width="21.29"/>
    <col customWidth="1" min="3" max="3" width="16.86"/>
    <col customWidth="1" min="4" max="26" width="8.86"/>
  </cols>
  <sheetData>
    <row r="1">
      <c r="A1" s="18" t="s">
        <v>91</v>
      </c>
      <c r="B1" s="61" t="str">
        <f>B_Company</f>
        <v>GRUPA AZOTY S.A</v>
      </c>
      <c r="C1" s="21"/>
    </row>
    <row r="2">
      <c r="A2" s="18"/>
      <c r="B2" s="62"/>
      <c r="C2" s="62"/>
    </row>
    <row r="3">
      <c r="A3" s="18" t="s">
        <v>65</v>
      </c>
      <c r="B3" s="61">
        <f>AssignNo</f>
        <v>30</v>
      </c>
      <c r="C3" s="21"/>
    </row>
    <row r="5">
      <c r="B5" s="44" t="s">
        <v>125</v>
      </c>
    </row>
    <row r="7">
      <c r="A7" s="33" t="s">
        <v>126</v>
      </c>
      <c r="B7" s="25">
        <v>2023.0</v>
      </c>
      <c r="C7" s="25">
        <v>2022.0</v>
      </c>
    </row>
    <row r="9">
      <c r="A9" s="14" t="s">
        <v>127</v>
      </c>
      <c r="B9" s="56">
        <f>B_NP_20/((B_TEQ_20+B_TEQ_19)/2)</f>
        <v>-0.4006737188</v>
      </c>
      <c r="C9" s="56">
        <f>B_NP_19/((B_TEQ_19+B_TEQ_18)/2)</f>
        <v>0.06181739673</v>
      </c>
      <c r="D9" s="53"/>
    </row>
    <row r="10">
      <c r="A10" s="14" t="s">
        <v>128</v>
      </c>
      <c r="B10" s="56">
        <f>B_EWI_20/((B_TA_20+B_TA_19)/2)</f>
        <v>-0.1432732667</v>
      </c>
      <c r="C10" s="56">
        <f>B_EWI_19/((B_TA_19+B_TA_18)/2)</f>
        <v>0.0127487124</v>
      </c>
    </row>
    <row r="11">
      <c r="A11" s="14" t="s">
        <v>129</v>
      </c>
      <c r="B11" s="56">
        <f>B_ROE_20-B_ROA_20</f>
        <v>-0.2574004521</v>
      </c>
      <c r="C11" s="56">
        <f>B_ROE_19-B_ROA_19</f>
        <v>0.04906868434</v>
      </c>
    </row>
    <row r="12">
      <c r="A12" s="14" t="s">
        <v>130</v>
      </c>
      <c r="B12" s="32">
        <f>B_NP_20+(B_FINEX_20*(1-B_StatTax_20))</f>
        <v>-3593448550</v>
      </c>
      <c r="C12" s="32">
        <f>B_NP_19+(B_FINEX_19*(1-B_StatTax_19))</f>
        <v>315596600</v>
      </c>
    </row>
    <row r="13">
      <c r="A13" s="14" t="s">
        <v>131</v>
      </c>
      <c r="B13" s="56">
        <f>(B_GP_20/B_Sales_20)</f>
        <v>-0.02131347335</v>
      </c>
      <c r="C13" s="56">
        <f>(B_GP_19/B_Sales_19)</f>
        <v>0.1595848998</v>
      </c>
    </row>
    <row r="14">
      <c r="A14" s="14" t="s">
        <v>132</v>
      </c>
      <c r="B14" s="56">
        <f>B_EWI_20/B_Sales_20</f>
        <v>-0.2652952095</v>
      </c>
      <c r="C14" s="56">
        <f>B_EWI_19/B_Sales_19</f>
        <v>0.01279902999</v>
      </c>
    </row>
    <row r="15">
      <c r="B15" s="56"/>
      <c r="C15" s="56"/>
      <c r="D15" s="53"/>
    </row>
    <row r="17">
      <c r="A17" s="33" t="s">
        <v>133</v>
      </c>
      <c r="B17" s="25">
        <f t="shared" ref="B17:C17" si="1">+B7</f>
        <v>2023</v>
      </c>
      <c r="C17" s="25">
        <f t="shared" si="1"/>
        <v>2022</v>
      </c>
    </row>
    <row r="19">
      <c r="A19" s="14" t="s">
        <v>134</v>
      </c>
      <c r="B19" s="67">
        <f>B_Sales_20/((B_AR_20+B_AR_19)/2)</f>
        <v>7.832424857</v>
      </c>
      <c r="C19" s="67">
        <f>B_Sales_19/((B_AR_19+B_AR_18)/2)</f>
        <v>11.00894566</v>
      </c>
    </row>
    <row r="20">
      <c r="A20" s="14" t="s">
        <v>135</v>
      </c>
      <c r="B20" s="67">
        <f>365/B_ART_20</f>
        <v>46.60114928</v>
      </c>
      <c r="C20" s="67">
        <f>365/B_ART_19</f>
        <v>33.15485527</v>
      </c>
    </row>
    <row r="21" ht="15.75" customHeight="1">
      <c r="A21" s="14" t="s">
        <v>136</v>
      </c>
      <c r="B21" s="67">
        <f>B_COGS_20/((B_INV_20+B_INV_19)/2)</f>
        <v>4.678610147</v>
      </c>
      <c r="C21" s="67">
        <f>B_COGS_19/((B_INV_19+B_INV_18)/2)</f>
        <v>7.198517141</v>
      </c>
    </row>
    <row r="22" ht="15.75" customHeight="1">
      <c r="A22" s="14" t="s">
        <v>137</v>
      </c>
      <c r="B22" s="67">
        <f>365/B_IT_20</f>
        <v>78.01462156</v>
      </c>
      <c r="C22" s="67">
        <f t="array" ref="C22">365/B_IT_19</f>
        <v>50.70488725</v>
      </c>
    </row>
    <row r="23" ht="15.75" customHeight="1">
      <c r="A23" s="14" t="s">
        <v>138</v>
      </c>
      <c r="B23" s="67">
        <f>B_Sales_20/((B_TA_20+B_TA_19)/2)</f>
        <v>0.5400522194</v>
      </c>
      <c r="C23" s="67">
        <f>B_Sales_19/((B_TA_19+B_TA_18)/2)</f>
        <v>0.9960686401</v>
      </c>
    </row>
    <row r="24" ht="15.75" customHeight="1">
      <c r="A24" s="33"/>
    </row>
    <row r="25" ht="15.75" customHeight="1"/>
    <row r="26" ht="15.75" customHeight="1">
      <c r="A26" s="33" t="s">
        <v>139</v>
      </c>
      <c r="B26" s="25">
        <f t="shared" ref="B26:C26" si="2">+B7</f>
        <v>2023</v>
      </c>
      <c r="C26" s="25">
        <f t="shared" si="2"/>
        <v>2022</v>
      </c>
    </row>
    <row r="27" ht="15.75" customHeight="1"/>
    <row r="28" ht="15.75" customHeight="1">
      <c r="A28" s="14" t="s">
        <v>140</v>
      </c>
      <c r="B28" s="67">
        <f>B_TCA_20/B_TCL_20</f>
        <v>0.4741097417</v>
      </c>
      <c r="C28" s="67">
        <f>B_TCA_19/B_TCL_19</f>
        <v>1.035059545</v>
      </c>
    </row>
    <row r="29" ht="15.75" customHeight="1">
      <c r="A29" s="14" t="s">
        <v>141</v>
      </c>
      <c r="B29" s="67">
        <f>(B_Cash_20+B_AR_20)/B_TCL_20</f>
        <v>0.1648637911</v>
      </c>
      <c r="C29" s="67">
        <f>(B_Cash_19+B_AR_19)/B_TCL_19</f>
        <v>0.3949647226</v>
      </c>
    </row>
    <row r="30" ht="15.75" customHeight="1">
      <c r="A30" s="14" t="s">
        <v>142</v>
      </c>
      <c r="B30" s="67">
        <f>(B_TCL_20+B_TNCL_20)/B_TEQ_20</f>
        <v>2.75625146</v>
      </c>
      <c r="C30" s="67">
        <f>(B_TCL_19+B_TNCL_19)/B_TEQ_19</f>
        <v>1.597899816</v>
      </c>
    </row>
    <row r="31" ht="15.75" customHeight="1">
      <c r="A31" s="14" t="s">
        <v>143</v>
      </c>
      <c r="B31" s="67">
        <f>B_EBIT_20/(B_FINEX_20*-1)</f>
        <v>-9.624846613</v>
      </c>
      <c r="C31" s="67">
        <f>B_EBIT_19/(B_FINEX_19*-1)</f>
        <v>2.614148094</v>
      </c>
    </row>
    <row r="32" ht="15.75" customHeight="1">
      <c r="A32" s="33"/>
    </row>
    <row r="33" ht="15.75" customHeight="1">
      <c r="A33" s="33"/>
    </row>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1:C1"/>
    <mergeCell ref="B3:C3"/>
    <mergeCell ref="B5:C5"/>
  </mergeCell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2021-08-16T07:21:18Z</dcterms:created>
  <dc:creator>Erik</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772ba27-cab8-4042-a351-a31f6e4eacdc_Enabled">
    <vt:lpwstr>true</vt:lpwstr>
  </property>
  <property fmtid="{D5CDD505-2E9C-101B-9397-08002B2CF9AE}" pid="3" name="MSIP_Label_8772ba27-cab8-4042-a351-a31f6e4eacdc_SetDate">
    <vt:lpwstr>2023-09-17T07:31:49Z</vt:lpwstr>
  </property>
  <property fmtid="{D5CDD505-2E9C-101B-9397-08002B2CF9AE}" pid="4" name="MSIP_Label_8772ba27-cab8-4042-a351-a31f6e4eacdc_Method">
    <vt:lpwstr>Standard</vt:lpwstr>
  </property>
  <property fmtid="{D5CDD505-2E9C-101B-9397-08002B2CF9AE}" pid="5" name="MSIP_Label_8772ba27-cab8-4042-a351-a31f6e4eacdc_Name">
    <vt:lpwstr>Internal</vt:lpwstr>
  </property>
  <property fmtid="{D5CDD505-2E9C-101B-9397-08002B2CF9AE}" pid="6" name="MSIP_Label_8772ba27-cab8-4042-a351-a31f6e4eacdc_SiteId">
    <vt:lpwstr>715902d6-f63e-4b8d-929b-4bb170bad492</vt:lpwstr>
  </property>
  <property fmtid="{D5CDD505-2E9C-101B-9397-08002B2CF9AE}" pid="7" name="MSIP_Label_8772ba27-cab8-4042-a351-a31f6e4eacdc_ActionId">
    <vt:lpwstr>6602c539-132d-4b74-901a-ee9a29b4c7e1</vt:lpwstr>
  </property>
  <property fmtid="{D5CDD505-2E9C-101B-9397-08002B2CF9AE}" pid="8" name="MSIP_Label_8772ba27-cab8-4042-a351-a31f6e4eacdc_ContentBits">
    <vt:lpwstr>0</vt:lpwstr>
  </property>
</Properties>
</file>